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4120" windowHeight="11910"/>
  </bookViews>
  <sheets>
    <sheet name="entregatMariela28112019" sheetId="1" r:id="rId1"/>
    <sheet name="Hoja3" sheetId="3" r:id="rId2"/>
  </sheets>
  <definedNames>
    <definedName name="_xlnm.Print_Area" localSheetId="0">entregatMariela28112019!$A$2:$P$101</definedName>
    <definedName name="_xlnm.Print_Titles" localSheetId="0">entregatMariela28112019!$5:$6</definedName>
  </definedNames>
  <calcPr calcId="125725"/>
</workbook>
</file>

<file path=xl/calcChain.xml><?xml version="1.0" encoding="utf-8"?>
<calcChain xmlns="http://schemas.openxmlformats.org/spreadsheetml/2006/main">
  <c r="N91" i="1"/>
  <c r="M91"/>
  <c r="O91" s="1"/>
  <c r="K91"/>
  <c r="J91"/>
  <c r="L91" s="1"/>
  <c r="H91"/>
  <c r="G91"/>
  <c r="I91" s="1"/>
  <c r="N86"/>
  <c r="M86"/>
  <c r="O86" s="1"/>
  <c r="K86"/>
  <c r="J86"/>
  <c r="L86" s="1"/>
  <c r="H86"/>
  <c r="G86"/>
  <c r="I86" s="1"/>
  <c r="N99"/>
  <c r="M99"/>
  <c r="O99" s="1"/>
  <c r="K99"/>
  <c r="J99"/>
  <c r="L99" s="1"/>
  <c r="H99"/>
  <c r="G99"/>
  <c r="I99" s="1"/>
  <c r="N80"/>
  <c r="M80"/>
  <c r="O80" s="1"/>
  <c r="N82"/>
  <c r="M82"/>
  <c r="K82"/>
  <c r="J82"/>
  <c r="L82" s="1"/>
  <c r="H82"/>
  <c r="G82"/>
  <c r="I82" s="1"/>
  <c r="K80"/>
  <c r="J80"/>
  <c r="L80" s="1"/>
  <c r="H80"/>
  <c r="G80"/>
  <c r="I80" s="1"/>
  <c r="N73"/>
  <c r="M73"/>
  <c r="O73" s="1"/>
  <c r="K73"/>
  <c r="J73"/>
  <c r="L73" s="1"/>
  <c r="H73"/>
  <c r="G73"/>
  <c r="I73" s="1"/>
  <c r="M56"/>
  <c r="J56"/>
  <c r="H56"/>
  <c r="G56"/>
  <c r="I56" s="1"/>
  <c r="N48"/>
  <c r="M48"/>
  <c r="O48" s="1"/>
  <c r="K48"/>
  <c r="J48"/>
  <c r="L48" s="1"/>
  <c r="G48"/>
  <c r="N18"/>
  <c r="M18"/>
  <c r="J18"/>
  <c r="G18"/>
  <c r="M8"/>
  <c r="M7" s="1"/>
  <c r="J8"/>
  <c r="J7" s="1"/>
  <c r="G8"/>
  <c r="G7" s="1"/>
  <c r="E99"/>
  <c r="D99"/>
  <c r="E91"/>
  <c r="D91"/>
  <c r="E86"/>
  <c r="D86"/>
  <c r="F86" s="1"/>
  <c r="E82"/>
  <c r="D82"/>
  <c r="F82" s="1"/>
  <c r="E80"/>
  <c r="D80"/>
  <c r="E73"/>
  <c r="D73"/>
  <c r="E56"/>
  <c r="D56"/>
  <c r="F56" s="1"/>
  <c r="D48"/>
  <c r="D18"/>
  <c r="D8"/>
  <c r="L21"/>
  <c r="I21"/>
  <c r="F21"/>
  <c r="O21"/>
  <c r="P21" s="1"/>
  <c r="O98"/>
  <c r="L98"/>
  <c r="I98"/>
  <c r="F98"/>
  <c r="O79"/>
  <c r="L79"/>
  <c r="I79"/>
  <c r="F79"/>
  <c r="O123"/>
  <c r="L123"/>
  <c r="I123"/>
  <c r="F123"/>
  <c r="P123"/>
  <c r="F124"/>
  <c r="P124" s="1"/>
  <c r="K60"/>
  <c r="K56" s="1"/>
  <c r="O72"/>
  <c r="L72"/>
  <c r="I72"/>
  <c r="F72"/>
  <c r="F71"/>
  <c r="L71"/>
  <c r="O71"/>
  <c r="I71"/>
  <c r="O67"/>
  <c r="L67"/>
  <c r="I67"/>
  <c r="F67"/>
  <c r="O65"/>
  <c r="O66"/>
  <c r="O68"/>
  <c r="O69"/>
  <c r="O70"/>
  <c r="L65"/>
  <c r="L66"/>
  <c r="L68"/>
  <c r="L69"/>
  <c r="L70"/>
  <c r="I65"/>
  <c r="I66"/>
  <c r="I68"/>
  <c r="I69"/>
  <c r="I70"/>
  <c r="F65"/>
  <c r="F66"/>
  <c r="P66" s="1"/>
  <c r="F68"/>
  <c r="F69"/>
  <c r="F70"/>
  <c r="P70" s="1"/>
  <c r="F73"/>
  <c r="L64"/>
  <c r="O64"/>
  <c r="I64"/>
  <c r="F64"/>
  <c r="O17"/>
  <c r="L17"/>
  <c r="I17"/>
  <c r="F17"/>
  <c r="F16"/>
  <c r="P17"/>
  <c r="O16"/>
  <c r="L16"/>
  <c r="I16"/>
  <c r="N122"/>
  <c r="O122" s="1"/>
  <c r="O125" s="1"/>
  <c r="K122"/>
  <c r="L122" s="1"/>
  <c r="L125" s="1"/>
  <c r="H122"/>
  <c r="I122" s="1"/>
  <c r="I125" s="1"/>
  <c r="E122"/>
  <c r="F122" s="1"/>
  <c r="F125" s="1"/>
  <c r="O81"/>
  <c r="L81"/>
  <c r="I81"/>
  <c r="E50"/>
  <c r="E48" s="1"/>
  <c r="O51"/>
  <c r="L51"/>
  <c r="I51"/>
  <c r="F51"/>
  <c r="E20"/>
  <c r="E109"/>
  <c r="E43"/>
  <c r="O43"/>
  <c r="L43"/>
  <c r="I43"/>
  <c r="F43"/>
  <c r="F80" l="1"/>
  <c r="F91"/>
  <c r="F99"/>
  <c r="O18"/>
  <c r="D7"/>
  <c r="P73"/>
  <c r="F48"/>
  <c r="P80"/>
  <c r="P99"/>
  <c r="P98"/>
  <c r="D101"/>
  <c r="L56"/>
  <c r="O82"/>
  <c r="P82" s="1"/>
  <c r="M101"/>
  <c r="J101"/>
  <c r="G101"/>
  <c r="P91"/>
  <c r="P86"/>
  <c r="P79"/>
  <c r="P69"/>
  <c r="P72"/>
  <c r="P16"/>
  <c r="P65"/>
  <c r="P67"/>
  <c r="P71"/>
  <c r="P64"/>
  <c r="P68"/>
  <c r="P122"/>
  <c r="P125" s="1"/>
  <c r="P51"/>
  <c r="P43"/>
  <c r="N62"/>
  <c r="L62"/>
  <c r="I62"/>
  <c r="F62"/>
  <c r="K20"/>
  <c r="H20"/>
  <c r="I22"/>
  <c r="P22" s="1"/>
  <c r="N108"/>
  <c r="K108"/>
  <c r="H108"/>
  <c r="E108"/>
  <c r="L60"/>
  <c r="O36"/>
  <c r="P36" s="1"/>
  <c r="F44"/>
  <c r="I44"/>
  <c r="L44"/>
  <c r="O44"/>
  <c r="H55"/>
  <c r="H48" s="1"/>
  <c r="E19"/>
  <c r="O47"/>
  <c r="L47"/>
  <c r="I47"/>
  <c r="N14"/>
  <c r="N8" s="1"/>
  <c r="N7" s="1"/>
  <c r="O7" s="1"/>
  <c r="K14"/>
  <c r="H14"/>
  <c r="I14" s="1"/>
  <c r="E14"/>
  <c r="E8" s="1"/>
  <c r="F8" s="1"/>
  <c r="K10"/>
  <c r="K8" s="1"/>
  <c r="H10"/>
  <c r="F90"/>
  <c r="O90"/>
  <c r="L90"/>
  <c r="I90"/>
  <c r="L100"/>
  <c r="O63"/>
  <c r="L63"/>
  <c r="I63"/>
  <c r="O100"/>
  <c r="I100"/>
  <c r="F81"/>
  <c r="F11"/>
  <c r="I11"/>
  <c r="L11"/>
  <c r="O11"/>
  <c r="O58"/>
  <c r="O61"/>
  <c r="O59"/>
  <c r="O9"/>
  <c r="O10"/>
  <c r="O15"/>
  <c r="O60"/>
  <c r="O88"/>
  <c r="O50"/>
  <c r="O49"/>
  <c r="O12"/>
  <c r="O13"/>
  <c r="L58"/>
  <c r="L61"/>
  <c r="L59"/>
  <c r="L9"/>
  <c r="L15"/>
  <c r="L88"/>
  <c r="L50"/>
  <c r="L49"/>
  <c r="L12"/>
  <c r="L13"/>
  <c r="I58"/>
  <c r="I61"/>
  <c r="I59"/>
  <c r="I9"/>
  <c r="I15"/>
  <c r="I60"/>
  <c r="I88"/>
  <c r="I50"/>
  <c r="I49"/>
  <c r="I12"/>
  <c r="I13"/>
  <c r="F58"/>
  <c r="F61"/>
  <c r="F59"/>
  <c r="F9"/>
  <c r="F10"/>
  <c r="F15"/>
  <c r="F88"/>
  <c r="F50"/>
  <c r="F49"/>
  <c r="F12"/>
  <c r="F13"/>
  <c r="O27"/>
  <c r="L27"/>
  <c r="I27"/>
  <c r="F27"/>
  <c r="O37"/>
  <c r="O34"/>
  <c r="O33"/>
  <c r="O35"/>
  <c r="O32"/>
  <c r="L37"/>
  <c r="L34"/>
  <c r="L33"/>
  <c r="L35"/>
  <c r="L32"/>
  <c r="I37"/>
  <c r="I34"/>
  <c r="I33"/>
  <c r="I35"/>
  <c r="I32"/>
  <c r="F37"/>
  <c r="F34"/>
  <c r="F33"/>
  <c r="F35"/>
  <c r="F32"/>
  <c r="O38"/>
  <c r="L38"/>
  <c r="I38"/>
  <c r="F38"/>
  <c r="L23"/>
  <c r="O23"/>
  <c r="I23"/>
  <c r="F23"/>
  <c r="O89"/>
  <c r="L89"/>
  <c r="I89"/>
  <c r="F89"/>
  <c r="O39"/>
  <c r="O40"/>
  <c r="O30"/>
  <c r="O29"/>
  <c r="O28"/>
  <c r="O26"/>
  <c r="O31"/>
  <c r="O24"/>
  <c r="O25"/>
  <c r="O41"/>
  <c r="O20"/>
  <c r="O19"/>
  <c r="O42"/>
  <c r="O45"/>
  <c r="O46"/>
  <c r="L39"/>
  <c r="L40"/>
  <c r="L30"/>
  <c r="L29"/>
  <c r="L28"/>
  <c r="L26"/>
  <c r="L31"/>
  <c r="L24"/>
  <c r="L25"/>
  <c r="L41"/>
  <c r="L19"/>
  <c r="L42"/>
  <c r="L45"/>
  <c r="L46"/>
  <c r="I39"/>
  <c r="I40"/>
  <c r="I30"/>
  <c r="I29"/>
  <c r="I28"/>
  <c r="I26"/>
  <c r="I31"/>
  <c r="I24"/>
  <c r="I25"/>
  <c r="I41"/>
  <c r="I19"/>
  <c r="I42"/>
  <c r="I45"/>
  <c r="I46"/>
  <c r="F39"/>
  <c r="F40"/>
  <c r="F30"/>
  <c r="F29"/>
  <c r="F28"/>
  <c r="F26"/>
  <c r="F31"/>
  <c r="F24"/>
  <c r="F25"/>
  <c r="F41"/>
  <c r="F20"/>
  <c r="F42"/>
  <c r="F45"/>
  <c r="F46"/>
  <c r="O87"/>
  <c r="L87"/>
  <c r="I87"/>
  <c r="F87"/>
  <c r="O52"/>
  <c r="L52"/>
  <c r="I52"/>
  <c r="F52"/>
  <c r="O78"/>
  <c r="O77"/>
  <c r="O76"/>
  <c r="O75"/>
  <c r="O74"/>
  <c r="L78"/>
  <c r="L77"/>
  <c r="L76"/>
  <c r="L75"/>
  <c r="L74"/>
  <c r="I78"/>
  <c r="I77"/>
  <c r="I76"/>
  <c r="I75"/>
  <c r="I74"/>
  <c r="F78"/>
  <c r="F77"/>
  <c r="F76"/>
  <c r="F75"/>
  <c r="F74"/>
  <c r="O84"/>
  <c r="O85"/>
  <c r="L84"/>
  <c r="L85"/>
  <c r="I84"/>
  <c r="I85"/>
  <c r="O97"/>
  <c r="O96"/>
  <c r="O92"/>
  <c r="O93"/>
  <c r="O94"/>
  <c r="O95"/>
  <c r="L97"/>
  <c r="L96"/>
  <c r="L92"/>
  <c r="L93"/>
  <c r="L94"/>
  <c r="L95"/>
  <c r="I97"/>
  <c r="I96"/>
  <c r="I92"/>
  <c r="I93"/>
  <c r="I94"/>
  <c r="I95"/>
  <c r="F97"/>
  <c r="F96"/>
  <c r="F92"/>
  <c r="F93"/>
  <c r="F94"/>
  <c r="F95"/>
  <c r="O57"/>
  <c r="L57"/>
  <c r="F57"/>
  <c r="F84"/>
  <c r="F85"/>
  <c r="F83"/>
  <c r="H8" l="1"/>
  <c r="I8" s="1"/>
  <c r="F19"/>
  <c r="E18"/>
  <c r="F18" s="1"/>
  <c r="L20"/>
  <c r="K18"/>
  <c r="L18" s="1"/>
  <c r="O62"/>
  <c r="N56"/>
  <c r="L8"/>
  <c r="O8"/>
  <c r="I20"/>
  <c r="H18"/>
  <c r="I18" s="1"/>
  <c r="H7"/>
  <c r="I7" s="1"/>
  <c r="E7"/>
  <c r="I48"/>
  <c r="L10"/>
  <c r="O14"/>
  <c r="I10"/>
  <c r="F14"/>
  <c r="P32"/>
  <c r="P33"/>
  <c r="P41"/>
  <c r="P42"/>
  <c r="P25"/>
  <c r="P31"/>
  <c r="P28"/>
  <c r="P30"/>
  <c r="P39"/>
  <c r="P89"/>
  <c r="P23"/>
  <c r="P38"/>
  <c r="P35"/>
  <c r="P34"/>
  <c r="P27"/>
  <c r="P90"/>
  <c r="P19"/>
  <c r="P24"/>
  <c r="P26"/>
  <c r="P29"/>
  <c r="P40"/>
  <c r="P37"/>
  <c r="P20"/>
  <c r="L14"/>
  <c r="P14" s="1"/>
  <c r="P44"/>
  <c r="P62"/>
  <c r="P47"/>
  <c r="P81"/>
  <c r="P95"/>
  <c r="P93"/>
  <c r="P96"/>
  <c r="P97"/>
  <c r="P84"/>
  <c r="P75"/>
  <c r="P77"/>
  <c r="P78"/>
  <c r="P52"/>
  <c r="P45"/>
  <c r="P13"/>
  <c r="P12"/>
  <c r="P49"/>
  <c r="P15"/>
  <c r="P9"/>
  <c r="P58"/>
  <c r="P94"/>
  <c r="P92"/>
  <c r="P85"/>
  <c r="P74"/>
  <c r="P76"/>
  <c r="P87"/>
  <c r="P46"/>
  <c r="P50"/>
  <c r="P88"/>
  <c r="P10"/>
  <c r="P59"/>
  <c r="P61"/>
  <c r="P11"/>
  <c r="P48" l="1"/>
  <c r="I101"/>
  <c r="N101"/>
  <c r="O56"/>
  <c r="P18"/>
  <c r="H101"/>
  <c r="F7"/>
  <c r="F101" s="1"/>
  <c r="E101"/>
  <c r="P8"/>
  <c r="K7"/>
  <c r="F60"/>
  <c r="P60" s="1"/>
  <c r="O83"/>
  <c r="L83"/>
  <c r="I83"/>
  <c r="F63"/>
  <c r="F100"/>
  <c r="P100" s="1"/>
  <c r="O55"/>
  <c r="O53"/>
  <c r="O54"/>
  <c r="L55"/>
  <c r="L53"/>
  <c r="L54"/>
  <c r="I55"/>
  <c r="I53"/>
  <c r="I126" s="1"/>
  <c r="I54"/>
  <c r="F55"/>
  <c r="F53"/>
  <c r="F54"/>
  <c r="I57"/>
  <c r="N110"/>
  <c r="N111" s="1"/>
  <c r="K110"/>
  <c r="K111" s="1"/>
  <c r="H110"/>
  <c r="H111" s="1"/>
  <c r="E110"/>
  <c r="E111" l="1"/>
  <c r="L7"/>
  <c r="K101"/>
  <c r="P56"/>
  <c r="O101"/>
  <c r="O126" s="1"/>
  <c r="F126"/>
  <c r="P63"/>
  <c r="P53"/>
  <c r="P83"/>
  <c r="P57"/>
  <c r="P54"/>
  <c r="P55"/>
  <c r="L101" l="1"/>
  <c r="L126" s="1"/>
  <c r="P7"/>
  <c r="P101" s="1"/>
  <c r="P126" s="1"/>
  <c r="N114"/>
  <c r="H114"/>
  <c r="K114"/>
  <c r="E114" l="1"/>
</calcChain>
</file>

<file path=xl/sharedStrings.xml><?xml version="1.0" encoding="utf-8"?>
<sst xmlns="http://schemas.openxmlformats.org/spreadsheetml/2006/main" count="122" uniqueCount="112">
  <si>
    <t>finançament extern</t>
  </si>
  <si>
    <t>finançament propi</t>
  </si>
  <si>
    <t>Permuta Maresme-Toló</t>
  </si>
  <si>
    <t>Infraestructura xarxa semafòrica intel·ligent (estratègia smart mobility)</t>
  </si>
  <si>
    <t>Infraestructures seguretat pasiva Ajuntament (arc detector metall/control accés biomètric...)</t>
  </si>
  <si>
    <t>Renovació equips, instal·lacions informàtica i software</t>
  </si>
  <si>
    <t>Sistemes d'Informació - Administració electrònica</t>
  </si>
  <si>
    <t>Fons Foment a la rehabilitació</t>
  </si>
  <si>
    <t>Cessió tram NII comprés Riera Argentona i Riera Sant Simó</t>
  </si>
  <si>
    <t>Fotovoltaiques equipaments zona Cerdanyola FEDER Eix 4</t>
  </si>
  <si>
    <t>Fotovoltaiques equipaments zona Cirera FEDER Eix 4</t>
  </si>
  <si>
    <t>Oficina de transició energètica de Mataró (equips de mesura i anàlisis energètic) FEDER Eix 4</t>
  </si>
  <si>
    <t>Projecte Comunitats Energètiques-Autoconsum+pobresa energètica</t>
  </si>
  <si>
    <t xml:space="preserve">Amortització inversions FCC </t>
  </si>
  <si>
    <t>Biblioteques</t>
  </si>
  <si>
    <t>Café Nou - FEDER</t>
  </si>
  <si>
    <t>La Presó</t>
  </si>
  <si>
    <t>Millores equipaments cívics i socials</t>
  </si>
  <si>
    <t>Millores equipaments culturals</t>
  </si>
  <si>
    <t>Millores equipaments educatius</t>
  </si>
  <si>
    <t>Millores equipaments esportius</t>
  </si>
  <si>
    <t>Mobiliari</t>
  </si>
  <si>
    <t>Actuacions anella verda i anella blava</t>
  </si>
  <si>
    <t>Altres actuacions espai públic</t>
  </si>
  <si>
    <t>Lepanto/Churruca, quotes urbanístiques PUMSA</t>
  </si>
  <si>
    <t>Les Sureres quotes urbanització (prop. parcel·les)</t>
  </si>
  <si>
    <t>Pla d'asfaltat</t>
  </si>
  <si>
    <t>Pla director de jocs infantils i àrees de salut de Mataró</t>
  </si>
  <si>
    <t>Pressupost participatiu</t>
  </si>
  <si>
    <t>UA88 El Sorrall 10,26% de la reparcel·lació i fases 1, 2 i 3 d'urbanització (prop. parcel·les)</t>
  </si>
  <si>
    <t>Préstec PUMSA per indemnització</t>
  </si>
  <si>
    <t>Pla instal·lació càmeres vidiovigilància espai públic</t>
  </si>
  <si>
    <t xml:space="preserve">Pla mobilitat urbana sostenible de Mataró  </t>
  </si>
  <si>
    <t>Total</t>
  </si>
  <si>
    <t>TOTAL</t>
  </si>
  <si>
    <t>MANDAT</t>
  </si>
  <si>
    <t>Nou endeutament Mandat</t>
  </si>
  <si>
    <t>Estalvi</t>
  </si>
  <si>
    <t>Total finançament propi</t>
  </si>
  <si>
    <t>Excés/Dèficit repartint FCC</t>
  </si>
  <si>
    <t>Excés/Dèficit</t>
  </si>
  <si>
    <t>Inversions FCC repartit 1,4M€ en 4 anys</t>
  </si>
  <si>
    <t>Desplegament Gestió dades - Sistema Plataforma Smart CityOS</t>
  </si>
  <si>
    <t>Renovació flota vehicles</t>
  </si>
  <si>
    <t>Accessibilitat: lavabos, rampes...</t>
  </si>
  <si>
    <t xml:space="preserve">Pla d'Impuls - Reforma façana Ajuntament </t>
  </si>
  <si>
    <t>Teatre Monumental (climatització)</t>
  </si>
  <si>
    <t>Urbanització entorns Can Marfà (quotes Samato)</t>
  </si>
  <si>
    <t>Zones verdes, parcs i jardins</t>
  </si>
  <si>
    <t>PROPOSTA INVERSIONS MANDAT 2020 - 2023</t>
  </si>
  <si>
    <t>Enllumenat públic</t>
  </si>
  <si>
    <t>Accessibilitat (vessant espai públic/escales mecàniques...)</t>
  </si>
  <si>
    <t>Accessibilitat Torre Llauder</t>
  </si>
  <si>
    <t>Fons inversió habitatges</t>
  </si>
  <si>
    <t xml:space="preserve">Millora de Polígons Industrials </t>
  </si>
  <si>
    <t>Espai Mataró a Can Xammar + mobiliari</t>
  </si>
  <si>
    <t>Can Xammar, espai tecnològic de façana (PIC)</t>
  </si>
  <si>
    <t>Renovació eines operatives control/seguretat (etilòmetre/drogotest/radar/emisores, etc)</t>
  </si>
  <si>
    <t>Mobiliari (Espai Mataró, ...)</t>
  </si>
  <si>
    <t>Operacions urbanístiques</t>
  </si>
  <si>
    <t>Instal·lacions Petanca - Rocafonda- Molins</t>
  </si>
  <si>
    <t>Enderroc antiga EB c. Muntanya (Cirera) i Menéndez y Pelayo</t>
  </si>
  <si>
    <t>La Ciutat al dia</t>
  </si>
  <si>
    <t>Espai Públic</t>
  </si>
  <si>
    <t>Equipaments</t>
  </si>
  <si>
    <t>Camp del Centenari - millores vestidors</t>
  </si>
  <si>
    <t>La Farinera</t>
  </si>
  <si>
    <t>Equipament El Rengle</t>
  </si>
  <si>
    <t>Millores equipaments administratius</t>
  </si>
  <si>
    <t>Mobilitat i Seguretat</t>
  </si>
  <si>
    <t>Sostenibilitat Energètica</t>
  </si>
  <si>
    <t>Neteja i Recollida residus</t>
  </si>
  <si>
    <t>Habitatge</t>
  </si>
  <si>
    <t>Promoció Econòmica</t>
  </si>
  <si>
    <t>Pla Impuls del Centre PIC</t>
  </si>
  <si>
    <t>Ciutat Intel·ligent i Govern Obert</t>
  </si>
  <si>
    <t>Pressupostos Participatius</t>
  </si>
  <si>
    <t>Urbanisme</t>
  </si>
  <si>
    <t>Clavegueram</t>
  </si>
  <si>
    <t>Aigua potable</t>
  </si>
  <si>
    <t>Vallveric</t>
  </si>
  <si>
    <t>Iveco-Renfe-Farinera</t>
  </si>
  <si>
    <t>El Rengle</t>
  </si>
  <si>
    <t>El Sorrall</t>
  </si>
  <si>
    <t>Can Font</t>
  </si>
  <si>
    <t>Ernest Lluch-Valldeix</t>
  </si>
  <si>
    <t>Can Cruzate</t>
  </si>
  <si>
    <t>Entorns c/ Biada</t>
  </si>
  <si>
    <t>Carretera de Cirera</t>
  </si>
  <si>
    <t>AMSA</t>
  </si>
  <si>
    <t>AJUNTAMENT</t>
  </si>
  <si>
    <t>PUMSA</t>
  </si>
  <si>
    <t>Actuacions AMSA medi ambient (planta fotovoltàica,...)</t>
  </si>
  <si>
    <t>Actuacions AMSA en sistemes d'informació</t>
  </si>
  <si>
    <t>Millores instal·lacions AMSA</t>
  </si>
  <si>
    <t>Agrupació</t>
  </si>
  <si>
    <t>Descripció</t>
  </si>
  <si>
    <t>quadre</t>
  </si>
  <si>
    <t>Casal de Joves de La Llàntia</t>
  </si>
  <si>
    <t>CAAC - Centre d'Acollida d'Animals de Companyia</t>
  </si>
  <si>
    <t>Mobiliari Biblioteca Popular pl. Ajuntament</t>
  </si>
  <si>
    <t>Camp municipal de futbol Molins</t>
  </si>
  <si>
    <t>Poliesportiu municipal Jaume Parera - millores instal·lacions</t>
  </si>
  <si>
    <t>Coberta poliesportiva de Cirera</t>
  </si>
  <si>
    <t>2n Camp Hoquei</t>
  </si>
  <si>
    <t>Pla renovació gespa camps de futbol municipals</t>
  </si>
  <si>
    <t>Antic hospital Sant Jaume i Santa Magdalena (PECT Salut)</t>
  </si>
  <si>
    <t>Pla Director eliminació fibrociment equip. mpals. (PM Eusebi Millan (2020),  Nau Can Marfà (2021), Edifici Pl Bous (2022), Gimnàs Casal de Joves (2022),  Piscina Municipal</t>
  </si>
  <si>
    <t>Anella ciclista (vies ciclistes urbanes) FEDER Eix 4</t>
  </si>
  <si>
    <t>Yes, we rent/Lloguem. Accions urbanes innovadores</t>
  </si>
  <si>
    <t>Acondicionament Saló de Sessions - projecte videoactes</t>
  </si>
  <si>
    <t>Desenvolupament de projectes pilot vinculats a Ciutat Intel·ligent i Reptes Urbans  (espai públic, seguretat, cohesió social, promoció de ciutat; ocupació qualitat)</t>
  </si>
</sst>
</file>

<file path=xl/styles.xml><?xml version="1.0" encoding="utf-8"?>
<styleSheet xmlns="http://schemas.openxmlformats.org/spreadsheetml/2006/main">
  <fonts count="12">
    <font>
      <sz val="11"/>
      <color theme="1"/>
      <name val="Times New Roman"/>
      <family val="2"/>
    </font>
    <font>
      <b/>
      <sz val="11"/>
      <color theme="1"/>
      <name val="Times New Roman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Times New Roman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E4E4"/>
        <bgColor theme="0" tint="-0.1499984740745262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79998168889431442"/>
        <bgColor theme="0" tint="-0.1499984740745262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0" tint="-0.14999847407452621"/>
      </patternFill>
    </fill>
  </fills>
  <borders count="2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 tint="0.39997558519241921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 tint="0.39997558519241921"/>
      </bottom>
      <diagonal/>
    </border>
    <border>
      <left/>
      <right style="thin">
        <color theme="4"/>
      </right>
      <top/>
      <bottom style="thin">
        <color theme="4" tint="0.39997558519241921"/>
      </bottom>
      <diagonal/>
    </border>
    <border>
      <left/>
      <right/>
      <top style="thick">
        <color theme="3" tint="0.39991454817346722"/>
      </top>
      <bottom style="thick">
        <color theme="3" tint="0.39991454817346722"/>
      </bottom>
      <diagonal/>
    </border>
    <border>
      <left/>
      <right style="thick">
        <color theme="3" tint="0.39994506668294322"/>
      </right>
      <top style="thick">
        <color theme="3" tint="0.39991454817346722"/>
      </top>
      <bottom style="thick">
        <color theme="3" tint="0.39991454817346722"/>
      </bottom>
      <diagonal/>
    </border>
  </borders>
  <cellStyleXfs count="1">
    <xf numFmtId="0" fontId="0" fillId="0" borderId="0"/>
  </cellStyleXfs>
  <cellXfs count="106">
    <xf numFmtId="0" fontId="0" fillId="0" borderId="0" xfId="0"/>
    <xf numFmtId="4" fontId="0" fillId="0" borderId="0" xfId="0" applyNumberFormat="1"/>
    <xf numFmtId="0" fontId="4" fillId="0" borderId="0" xfId="0" applyFont="1"/>
    <xf numFmtId="4" fontId="4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5" xfId="0" applyFont="1" applyBorder="1"/>
    <xf numFmtId="4" fontId="4" fillId="0" borderId="7" xfId="0" applyNumberFormat="1" applyFont="1" applyBorder="1"/>
    <xf numFmtId="4" fontId="4" fillId="0" borderId="10" xfId="0" applyNumberFormat="1" applyFont="1" applyBorder="1"/>
    <xf numFmtId="4" fontId="4" fillId="5" borderId="10" xfId="0" applyNumberFormat="1" applyFont="1" applyFill="1" applyBorder="1"/>
    <xf numFmtId="4" fontId="5" fillId="6" borderId="13" xfId="0" applyNumberFormat="1" applyFont="1" applyFill="1" applyBorder="1"/>
    <xf numFmtId="4" fontId="4" fillId="5" borderId="7" xfId="0" applyNumberFormat="1" applyFont="1" applyFill="1" applyBorder="1"/>
    <xf numFmtId="0" fontId="1" fillId="0" borderId="0" xfId="0" applyFont="1"/>
    <xf numFmtId="4" fontId="6" fillId="0" borderId="0" xfId="0" applyNumberFormat="1" applyFont="1"/>
    <xf numFmtId="0" fontId="4" fillId="0" borderId="3" xfId="0" applyFont="1" applyBorder="1"/>
    <xf numFmtId="4" fontId="4" fillId="0" borderId="3" xfId="0" applyNumberFormat="1" applyFont="1" applyBorder="1"/>
    <xf numFmtId="0" fontId="3" fillId="2" borderId="5" xfId="0" applyFont="1" applyFill="1" applyBorder="1" applyAlignment="1">
      <alignment horizontal="centerContinuous" wrapText="1"/>
    </xf>
    <xf numFmtId="0" fontId="3" fillId="4" borderId="5" xfId="0" applyFont="1" applyFill="1" applyBorder="1" applyAlignment="1">
      <alignment horizontal="centerContinuous"/>
    </xf>
    <xf numFmtId="0" fontId="6" fillId="0" borderId="5" xfId="0" applyFont="1" applyBorder="1"/>
    <xf numFmtId="0" fontId="7" fillId="0" borderId="0" xfId="0" applyFont="1" applyAlignment="1">
      <alignment horizontal="centerContinuous"/>
    </xf>
    <xf numFmtId="0" fontId="3" fillId="2" borderId="15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 wrapText="1"/>
    </xf>
    <xf numFmtId="4" fontId="3" fillId="0" borderId="7" xfId="0" applyNumberFormat="1" applyFont="1" applyBorder="1"/>
    <xf numFmtId="4" fontId="6" fillId="0" borderId="8" xfId="0" applyNumberFormat="1" applyFont="1" applyBorder="1"/>
    <xf numFmtId="4" fontId="3" fillId="0" borderId="10" xfId="0" applyNumberFormat="1" applyFont="1" applyBorder="1"/>
    <xf numFmtId="4" fontId="6" fillId="0" borderId="11" xfId="0" applyNumberFormat="1" applyFont="1" applyBorder="1"/>
    <xf numFmtId="4" fontId="3" fillId="5" borderId="10" xfId="0" applyNumberFormat="1" applyFont="1" applyFill="1" applyBorder="1"/>
    <xf numFmtId="4" fontId="6" fillId="5" borderId="11" xfId="0" applyNumberFormat="1" applyFont="1" applyFill="1" applyBorder="1"/>
    <xf numFmtId="4" fontId="5" fillId="6" borderId="14" xfId="0" applyNumberFormat="1" applyFont="1" applyFill="1" applyBorder="1"/>
    <xf numFmtId="4" fontId="3" fillId="0" borderId="0" xfId="0" applyNumberFormat="1" applyFont="1"/>
    <xf numFmtId="4" fontId="3" fillId="5" borderId="7" xfId="0" applyNumberFormat="1" applyFont="1" applyFill="1" applyBorder="1"/>
    <xf numFmtId="4" fontId="6" fillId="5" borderId="8" xfId="0" applyNumberFormat="1" applyFont="1" applyFill="1" applyBorder="1"/>
    <xf numFmtId="0" fontId="0" fillId="0" borderId="0" xfId="0"/>
    <xf numFmtId="0" fontId="4" fillId="0" borderId="0" xfId="0" applyFont="1"/>
    <xf numFmtId="4" fontId="4" fillId="0" borderId="3" xfId="0" applyNumberFormat="1" applyFont="1" applyBorder="1"/>
    <xf numFmtId="0" fontId="0" fillId="0" borderId="0" xfId="0"/>
    <xf numFmtId="0" fontId="4" fillId="0" borderId="0" xfId="0" applyFont="1"/>
    <xf numFmtId="4" fontId="4" fillId="0" borderId="3" xfId="0" applyNumberFormat="1" applyFont="1" applyBorder="1"/>
    <xf numFmtId="0" fontId="9" fillId="0" borderId="3" xfId="0" applyFont="1" applyBorder="1"/>
    <xf numFmtId="0" fontId="0" fillId="0" borderId="0" xfId="0"/>
    <xf numFmtId="0" fontId="4" fillId="0" borderId="0" xfId="0" applyFont="1"/>
    <xf numFmtId="0" fontId="4" fillId="0" borderId="3" xfId="0" applyFont="1" applyBorder="1"/>
    <xf numFmtId="4" fontId="4" fillId="0" borderId="3" xfId="0" applyNumberFormat="1" applyFont="1" applyBorder="1"/>
    <xf numFmtId="0" fontId="0" fillId="0" borderId="0" xfId="0"/>
    <xf numFmtId="0" fontId="4" fillId="0" borderId="0" xfId="0" applyFont="1"/>
    <xf numFmtId="0" fontId="3" fillId="0" borderId="0" xfId="0" applyFont="1" applyAlignment="1">
      <alignment wrapText="1"/>
    </xf>
    <xf numFmtId="4" fontId="4" fillId="0" borderId="0" xfId="0" applyNumberFormat="1" applyFont="1"/>
    <xf numFmtId="0" fontId="3" fillId="0" borderId="0" xfId="0" applyFont="1"/>
    <xf numFmtId="0" fontId="6" fillId="0" borderId="0" xfId="0" applyFont="1"/>
    <xf numFmtId="4" fontId="4" fillId="0" borderId="3" xfId="0" applyNumberFormat="1" applyFont="1" applyBorder="1"/>
    <xf numFmtId="0" fontId="10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0" borderId="0" xfId="0" applyFont="1" applyAlignment="1">
      <alignment horizontal="left" vertical="center"/>
    </xf>
    <xf numFmtId="0" fontId="3" fillId="2" borderId="4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Continuous" wrapText="1"/>
    </xf>
    <xf numFmtId="0" fontId="3" fillId="2" borderId="3" xfId="0" applyFont="1" applyFill="1" applyBorder="1" applyAlignment="1">
      <alignment horizontal="centerContinuous" wrapText="1"/>
    </xf>
    <xf numFmtId="0" fontId="3" fillId="4" borderId="18" xfId="0" applyFont="1" applyFill="1" applyBorder="1" applyAlignment="1">
      <alignment horizontal="centerContinuous"/>
    </xf>
    <xf numFmtId="4" fontId="3" fillId="8" borderId="3" xfId="0" applyNumberFormat="1" applyFont="1" applyFill="1" applyBorder="1"/>
    <xf numFmtId="4" fontId="6" fillId="9" borderId="3" xfId="0" applyNumberFormat="1" applyFont="1" applyFill="1" applyBorder="1"/>
    <xf numFmtId="0" fontId="5" fillId="10" borderId="19" xfId="0" applyFont="1" applyFill="1" applyBorder="1" applyAlignment="1">
      <alignment horizontal="centerContinuous" wrapText="1"/>
    </xf>
    <xf numFmtId="0" fontId="5" fillId="10" borderId="21" xfId="0" applyFont="1" applyFill="1" applyBorder="1" applyAlignment="1">
      <alignment horizontal="center" wrapText="1"/>
    </xf>
    <xf numFmtId="0" fontId="4" fillId="0" borderId="3" xfId="0" applyFont="1" applyFill="1" applyBorder="1"/>
    <xf numFmtId="4" fontId="4" fillId="0" borderId="3" xfId="0" applyNumberFormat="1" applyFont="1" applyFill="1" applyBorder="1"/>
    <xf numFmtId="0" fontId="9" fillId="7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/>
    </xf>
    <xf numFmtId="0" fontId="9" fillId="7" borderId="3" xfId="0" applyFont="1" applyFill="1" applyBorder="1" applyAlignment="1">
      <alignment vertical="center"/>
    </xf>
    <xf numFmtId="0" fontId="9" fillId="0" borderId="3" xfId="0" applyFont="1" applyBorder="1" applyAlignment="1">
      <alignment wrapText="1"/>
    </xf>
    <xf numFmtId="0" fontId="9" fillId="7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4" fontId="4" fillId="0" borderId="0" xfId="0" applyNumberFormat="1" applyFont="1" applyAlignment="1">
      <alignment horizontal="right"/>
    </xf>
    <xf numFmtId="0" fontId="5" fillId="0" borderId="0" xfId="0" applyFont="1"/>
    <xf numFmtId="0" fontId="11" fillId="0" borderId="0" xfId="0" applyFont="1"/>
    <xf numFmtId="0" fontId="3" fillId="3" borderId="0" xfId="0" applyFont="1" applyFill="1" applyAlignment="1">
      <alignment wrapText="1"/>
    </xf>
    <xf numFmtId="0" fontId="3" fillId="12" borderId="0" xfId="0" applyFont="1" applyFill="1" applyAlignment="1">
      <alignment wrapText="1"/>
    </xf>
    <xf numFmtId="0" fontId="4" fillId="12" borderId="0" xfId="0" applyFont="1" applyFill="1" applyBorder="1"/>
    <xf numFmtId="4" fontId="3" fillId="12" borderId="4" xfId="0" applyNumberFormat="1" applyFont="1" applyFill="1" applyBorder="1" applyAlignment="1">
      <alignment horizontal="left"/>
    </xf>
    <xf numFmtId="0" fontId="4" fillId="3" borderId="2" xfId="0" applyFont="1" applyFill="1" applyBorder="1"/>
    <xf numFmtId="4" fontId="3" fillId="3" borderId="2" xfId="0" applyNumberFormat="1" applyFont="1" applyFill="1" applyBorder="1" applyAlignment="1">
      <alignment horizontal="center"/>
    </xf>
    <xf numFmtId="4" fontId="2" fillId="11" borderId="3" xfId="0" applyNumberFormat="1" applyFont="1" applyFill="1" applyBorder="1" applyAlignment="1">
      <alignment horizontal="center"/>
    </xf>
    <xf numFmtId="4" fontId="5" fillId="13" borderId="4" xfId="0" applyNumberFormat="1" applyFont="1" applyFill="1" applyBorder="1" applyAlignment="1">
      <alignment horizontal="left"/>
    </xf>
    <xf numFmtId="4" fontId="2" fillId="11" borderId="2" xfId="0" applyNumberFormat="1" applyFont="1" applyFill="1" applyBorder="1" applyAlignment="1">
      <alignment horizontal="center"/>
    </xf>
    <xf numFmtId="4" fontId="5" fillId="9" borderId="3" xfId="0" applyNumberFormat="1" applyFont="1" applyFill="1" applyBorder="1"/>
    <xf numFmtId="0" fontId="5" fillId="0" borderId="22" xfId="0" applyFont="1" applyBorder="1"/>
    <xf numFmtId="4" fontId="5" fillId="0" borderId="22" xfId="0" applyNumberFormat="1" applyFont="1" applyBorder="1"/>
    <xf numFmtId="4" fontId="5" fillId="0" borderId="23" xfId="0" applyNumberFormat="1" applyFont="1" applyBorder="1"/>
    <xf numFmtId="0" fontId="5" fillId="0" borderId="22" xfId="0" applyFont="1" applyBorder="1" applyAlignment="1">
      <alignment horizontal="center"/>
    </xf>
    <xf numFmtId="0" fontId="4" fillId="3" borderId="3" xfId="0" applyFont="1" applyFill="1" applyBorder="1"/>
    <xf numFmtId="4" fontId="3" fillId="3" borderId="3" xfId="0" applyNumberFormat="1" applyFont="1" applyFill="1" applyBorder="1" applyAlignment="1">
      <alignment horizontal="center"/>
    </xf>
    <xf numFmtId="0" fontId="3" fillId="12" borderId="0" xfId="0" applyFont="1" applyFill="1" applyAlignment="1"/>
    <xf numFmtId="0" fontId="4" fillId="0" borderId="0" xfId="0" applyFont="1" applyAlignment="1"/>
    <xf numFmtId="0" fontId="3" fillId="2" borderId="16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0" borderId="0" xfId="0" applyFont="1" applyAlignment="1"/>
    <xf numFmtId="0" fontId="10" fillId="0" borderId="0" xfId="0" applyFont="1" applyAlignment="1"/>
    <xf numFmtId="4" fontId="4" fillId="0" borderId="6" xfId="0" applyNumberFormat="1" applyFont="1" applyBorder="1" applyAlignment="1"/>
    <xf numFmtId="4" fontId="4" fillId="0" borderId="9" xfId="0" applyNumberFormat="1" applyFont="1" applyBorder="1" applyAlignment="1"/>
    <xf numFmtId="4" fontId="4" fillId="5" borderId="9" xfId="0" applyNumberFormat="1" applyFont="1" applyFill="1" applyBorder="1" applyAlignment="1"/>
    <xf numFmtId="4" fontId="5" fillId="6" borderId="12" xfId="0" applyNumberFormat="1" applyFont="1" applyFill="1" applyBorder="1" applyAlignment="1"/>
    <xf numFmtId="4" fontId="4" fillId="0" borderId="0" xfId="0" applyNumberFormat="1" applyFont="1" applyAlignment="1"/>
    <xf numFmtId="4" fontId="4" fillId="5" borderId="6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4E4E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128"/>
  <sheetViews>
    <sheetView showGridLines="0" tabSelected="1" topLeftCell="A4" zoomScaleNormal="100" workbookViewId="0">
      <pane ySplit="1095" topLeftCell="A81" activePane="bottomLeft"/>
      <selection activeCell="A4" sqref="A1:A1048576"/>
      <selection pane="bottomLeft" activeCell="D105" sqref="D105"/>
    </sheetView>
  </sheetViews>
  <sheetFormatPr baseColWidth="10" defaultRowHeight="15.75"/>
  <cols>
    <col min="1" max="1" width="23" style="95" customWidth="1"/>
    <col min="2" max="2" width="26.5703125" style="45" customWidth="1"/>
    <col min="3" max="3" width="65.140625" style="2" customWidth="1"/>
    <col min="4" max="5" width="17.42578125" style="2" customWidth="1"/>
    <col min="6" max="6" width="17.42578125" style="4" customWidth="1"/>
    <col min="7" max="8" width="17.42578125" style="2" customWidth="1"/>
    <col min="9" max="9" width="17.42578125" style="48" customWidth="1"/>
    <col min="10" max="11" width="17.42578125" style="2" customWidth="1"/>
    <col min="12" max="12" width="17.42578125" style="48" customWidth="1"/>
    <col min="13" max="14" width="17.42578125" style="2" customWidth="1"/>
    <col min="15" max="15" width="17.42578125" style="48" customWidth="1"/>
    <col min="16" max="16" width="17.42578125" style="49" customWidth="1"/>
    <col min="17" max="19" width="11.42578125" style="2"/>
    <col min="20" max="20" width="13.5703125" bestFit="1" customWidth="1"/>
    <col min="21" max="21" width="19" style="2" bestFit="1" customWidth="1"/>
    <col min="22" max="22" width="12.7109375" style="2" bestFit="1" customWidth="1"/>
    <col min="23" max="23" width="18" style="2" bestFit="1" customWidth="1"/>
    <col min="24" max="24" width="12" style="2" bestFit="1" customWidth="1"/>
    <col min="25" max="16384" width="11.42578125" style="2"/>
  </cols>
  <sheetData>
    <row r="2" spans="1:20">
      <c r="A2" s="57" t="s">
        <v>49</v>
      </c>
      <c r="B2" s="57"/>
    </row>
    <row r="3" spans="1:20" s="45" customFormat="1">
      <c r="A3" s="57"/>
      <c r="B3" s="57"/>
      <c r="F3" s="48"/>
      <c r="I3" s="48"/>
      <c r="L3" s="48"/>
      <c r="O3" s="48"/>
      <c r="P3" s="49"/>
      <c r="T3" s="56"/>
    </row>
    <row r="4" spans="1:20" customFormat="1" ht="9" customHeight="1">
      <c r="A4" s="95"/>
      <c r="B4" s="45"/>
      <c r="C4" s="20"/>
      <c r="F4" s="13"/>
      <c r="I4" s="13"/>
      <c r="L4" s="13"/>
      <c r="O4" s="13"/>
      <c r="P4" s="49"/>
    </row>
    <row r="5" spans="1:20" s="5" customFormat="1">
      <c r="A5" s="96"/>
      <c r="B5" s="58"/>
      <c r="C5" s="58"/>
      <c r="D5" s="59">
        <v>2020</v>
      </c>
      <c r="E5" s="60"/>
      <c r="F5" s="61"/>
      <c r="G5" s="59">
        <v>2021</v>
      </c>
      <c r="H5" s="60"/>
      <c r="I5" s="61"/>
      <c r="J5" s="59">
        <v>2022</v>
      </c>
      <c r="K5" s="60"/>
      <c r="L5" s="61"/>
      <c r="M5" s="60">
        <v>2023</v>
      </c>
      <c r="N5" s="60"/>
      <c r="O5" s="61"/>
      <c r="P5" s="64" t="s">
        <v>34</v>
      </c>
      <c r="T5"/>
    </row>
    <row r="6" spans="1:20" s="5" customFormat="1">
      <c r="A6" s="97" t="s">
        <v>95</v>
      </c>
      <c r="B6" s="73"/>
      <c r="C6" s="6" t="s">
        <v>96</v>
      </c>
      <c r="D6" s="21" t="s">
        <v>0</v>
      </c>
      <c r="E6" s="21" t="s">
        <v>1</v>
      </c>
      <c r="F6" s="22" t="s">
        <v>33</v>
      </c>
      <c r="G6" s="21" t="s">
        <v>0</v>
      </c>
      <c r="H6" s="21" t="s">
        <v>1</v>
      </c>
      <c r="I6" s="22" t="s">
        <v>33</v>
      </c>
      <c r="J6" s="21" t="s">
        <v>0</v>
      </c>
      <c r="K6" s="21" t="s">
        <v>1</v>
      </c>
      <c r="L6" s="22" t="s">
        <v>33</v>
      </c>
      <c r="M6" s="21" t="s">
        <v>0</v>
      </c>
      <c r="N6" s="21" t="s">
        <v>1</v>
      </c>
      <c r="O6" s="22" t="s">
        <v>33</v>
      </c>
      <c r="P6" s="65" t="s">
        <v>35</v>
      </c>
      <c r="T6"/>
    </row>
    <row r="7" spans="1:20" s="45" customFormat="1">
      <c r="A7" s="94" t="s">
        <v>62</v>
      </c>
      <c r="B7" s="79"/>
      <c r="C7" s="80"/>
      <c r="D7" s="81">
        <f>+D8+D18</f>
        <v>1599749.3869999999</v>
      </c>
      <c r="E7" s="81">
        <f>+E8+E18</f>
        <v>9338322.2699999996</v>
      </c>
      <c r="F7" s="85">
        <f t="shared" ref="F7:F15" si="0">SUM(D7:E7)</f>
        <v>10938071.657</v>
      </c>
      <c r="G7" s="81">
        <f>+G8+G18</f>
        <v>1325039.43</v>
      </c>
      <c r="H7" s="81">
        <f>+H8+H18</f>
        <v>10873128.6</v>
      </c>
      <c r="I7" s="85">
        <f t="shared" ref="I7:I35" si="1">SUM(G7:H7)</f>
        <v>12198168.029999999</v>
      </c>
      <c r="J7" s="81">
        <f>+J8+J18</f>
        <v>300000</v>
      </c>
      <c r="K7" s="81">
        <f>+K8+K18</f>
        <v>7130946.2999999998</v>
      </c>
      <c r="L7" s="85">
        <f t="shared" ref="L7:L21" si="2">SUM(J7:K7)</f>
        <v>7430946.2999999998</v>
      </c>
      <c r="M7" s="81">
        <f>+M8+M18</f>
        <v>100000</v>
      </c>
      <c r="N7" s="81">
        <f>+N8+N18</f>
        <v>6435134.9800000004</v>
      </c>
      <c r="O7" s="85">
        <f t="shared" ref="O7:O21" si="3">SUM(M7:N7)</f>
        <v>6535134.9800000004</v>
      </c>
      <c r="P7" s="87">
        <f t="shared" ref="P7:P8" si="4">+O7+L7+I7+F7</f>
        <v>37102320.967</v>
      </c>
      <c r="T7" s="56"/>
    </row>
    <row r="8" spans="1:20" s="45" customFormat="1">
      <c r="A8" s="98"/>
      <c r="B8" s="78" t="s">
        <v>63</v>
      </c>
      <c r="C8" s="92"/>
      <c r="D8" s="93">
        <f>SUM(D9:D17)</f>
        <v>250000</v>
      </c>
      <c r="E8" s="93">
        <f>SUM(E9:E17)</f>
        <v>4648487</v>
      </c>
      <c r="F8" s="84">
        <f t="shared" si="0"/>
        <v>4898487</v>
      </c>
      <c r="G8" s="93">
        <f>SUM(G9:G17)</f>
        <v>250000</v>
      </c>
      <c r="H8" s="93">
        <f>SUM(H9:H17)</f>
        <v>5870000</v>
      </c>
      <c r="I8" s="84">
        <f t="shared" si="1"/>
        <v>6120000</v>
      </c>
      <c r="J8" s="93">
        <f>SUM(J9:J17)</f>
        <v>100000</v>
      </c>
      <c r="K8" s="93">
        <f>SUM(K9:K17)</f>
        <v>4740000</v>
      </c>
      <c r="L8" s="84">
        <f t="shared" si="2"/>
        <v>4840000</v>
      </c>
      <c r="M8" s="93">
        <f>SUM(M9:M17)</f>
        <v>100000</v>
      </c>
      <c r="N8" s="93">
        <f>SUM(N9:N17)</f>
        <v>3510000</v>
      </c>
      <c r="O8" s="84">
        <f t="shared" si="3"/>
        <v>3610000</v>
      </c>
      <c r="P8" s="87">
        <f t="shared" si="4"/>
        <v>19468487</v>
      </c>
      <c r="T8" s="56"/>
    </row>
    <row r="9" spans="1:20">
      <c r="A9" s="98"/>
      <c r="B9" s="46"/>
      <c r="C9" s="39" t="s">
        <v>26</v>
      </c>
      <c r="D9" s="16">
        <v>100000</v>
      </c>
      <c r="E9" s="16">
        <v>500000</v>
      </c>
      <c r="F9" s="62">
        <f t="shared" si="0"/>
        <v>600000</v>
      </c>
      <c r="G9" s="16"/>
      <c r="H9" s="16">
        <v>600000</v>
      </c>
      <c r="I9" s="62">
        <f t="shared" si="1"/>
        <v>600000</v>
      </c>
      <c r="J9" s="16"/>
      <c r="K9" s="16">
        <v>1000000</v>
      </c>
      <c r="L9" s="62">
        <f t="shared" si="2"/>
        <v>1000000</v>
      </c>
      <c r="M9" s="16"/>
      <c r="N9" s="16">
        <v>300000</v>
      </c>
      <c r="O9" s="62">
        <f t="shared" si="3"/>
        <v>300000</v>
      </c>
      <c r="P9" s="63">
        <f>+O9+L9+I9+F9</f>
        <v>2500000</v>
      </c>
    </row>
    <row r="10" spans="1:20">
      <c r="A10" s="98"/>
      <c r="B10" s="46"/>
      <c r="C10" s="39" t="s">
        <v>27</v>
      </c>
      <c r="D10" s="16"/>
      <c r="E10" s="16">
        <v>50000</v>
      </c>
      <c r="F10" s="62">
        <f t="shared" si="0"/>
        <v>50000</v>
      </c>
      <c r="G10" s="16"/>
      <c r="H10" s="16">
        <f>310000+50000</f>
        <v>360000</v>
      </c>
      <c r="I10" s="62">
        <f t="shared" si="1"/>
        <v>360000</v>
      </c>
      <c r="J10" s="16"/>
      <c r="K10" s="16">
        <f>310000+50000</f>
        <v>360000</v>
      </c>
      <c r="L10" s="62">
        <f t="shared" si="2"/>
        <v>360000</v>
      </c>
      <c r="M10" s="16"/>
      <c r="N10" s="16">
        <v>100000</v>
      </c>
      <c r="O10" s="62">
        <f t="shared" si="3"/>
        <v>100000</v>
      </c>
      <c r="P10" s="63">
        <f>+O10+L10+I10+F10</f>
        <v>870000</v>
      </c>
    </row>
    <row r="11" spans="1:20" s="45" customFormat="1">
      <c r="A11" s="98"/>
      <c r="B11" s="46"/>
      <c r="C11" s="39" t="s">
        <v>48</v>
      </c>
      <c r="D11" s="50"/>
      <c r="E11" s="50"/>
      <c r="F11" s="62">
        <f t="shared" si="0"/>
        <v>0</v>
      </c>
      <c r="G11" s="50">
        <v>150000</v>
      </c>
      <c r="H11" s="50">
        <v>300000</v>
      </c>
      <c r="I11" s="62">
        <f t="shared" si="1"/>
        <v>450000</v>
      </c>
      <c r="J11" s="50">
        <v>100000</v>
      </c>
      <c r="K11" s="50">
        <v>300000</v>
      </c>
      <c r="L11" s="62">
        <f t="shared" si="2"/>
        <v>400000</v>
      </c>
      <c r="M11" s="50">
        <v>100000</v>
      </c>
      <c r="N11" s="50">
        <v>300000</v>
      </c>
      <c r="O11" s="62">
        <f t="shared" si="3"/>
        <v>400000</v>
      </c>
      <c r="P11" s="63">
        <f>+O11+L11+I11+F11</f>
        <v>1250000</v>
      </c>
      <c r="T11" s="44"/>
    </row>
    <row r="12" spans="1:20">
      <c r="A12" s="98"/>
      <c r="B12" s="46"/>
      <c r="C12" s="15" t="s">
        <v>22</v>
      </c>
      <c r="D12" s="16">
        <v>100000</v>
      </c>
      <c r="E12" s="16"/>
      <c r="F12" s="62">
        <f t="shared" si="0"/>
        <v>100000</v>
      </c>
      <c r="G12" s="16">
        <v>100000</v>
      </c>
      <c r="H12" s="16"/>
      <c r="I12" s="62">
        <f t="shared" si="1"/>
        <v>100000</v>
      </c>
      <c r="J12" s="16"/>
      <c r="K12" s="16"/>
      <c r="L12" s="62">
        <f t="shared" si="2"/>
        <v>0</v>
      </c>
      <c r="M12" s="16"/>
      <c r="N12" s="16"/>
      <c r="O12" s="62">
        <f t="shared" si="3"/>
        <v>0</v>
      </c>
      <c r="P12" s="63">
        <f>+O12+L12+I12+F12</f>
        <v>200000</v>
      </c>
    </row>
    <row r="13" spans="1:20">
      <c r="A13" s="98"/>
      <c r="B13" s="46"/>
      <c r="C13" s="42" t="s">
        <v>51</v>
      </c>
      <c r="D13" s="16">
        <v>50000</v>
      </c>
      <c r="E13" s="16">
        <v>350000</v>
      </c>
      <c r="F13" s="62">
        <f t="shared" si="0"/>
        <v>400000</v>
      </c>
      <c r="G13" s="16"/>
      <c r="H13" s="16">
        <v>500000</v>
      </c>
      <c r="I13" s="62">
        <f t="shared" si="1"/>
        <v>500000</v>
      </c>
      <c r="J13" s="16"/>
      <c r="K13" s="16">
        <v>500000</v>
      </c>
      <c r="L13" s="62">
        <f t="shared" si="2"/>
        <v>500000</v>
      </c>
      <c r="M13" s="16"/>
      <c r="N13" s="16">
        <v>1000000</v>
      </c>
      <c r="O13" s="62">
        <f t="shared" si="3"/>
        <v>1000000</v>
      </c>
      <c r="P13" s="63">
        <f>+O13+L13+I13+F13</f>
        <v>2400000</v>
      </c>
    </row>
    <row r="14" spans="1:20">
      <c r="A14" s="98"/>
      <c r="B14" s="46"/>
      <c r="C14" s="39" t="s">
        <v>23</v>
      </c>
      <c r="D14" s="16"/>
      <c r="E14" s="16">
        <f>50000+60000</f>
        <v>110000</v>
      </c>
      <c r="F14" s="62">
        <f t="shared" si="0"/>
        <v>110000</v>
      </c>
      <c r="G14" s="16"/>
      <c r="H14" s="16">
        <f>50000+60000</f>
        <v>110000</v>
      </c>
      <c r="I14" s="62">
        <f t="shared" si="1"/>
        <v>110000</v>
      </c>
      <c r="J14" s="16"/>
      <c r="K14" s="16">
        <f>50000+80000</f>
        <v>130000</v>
      </c>
      <c r="L14" s="62">
        <f t="shared" si="2"/>
        <v>130000</v>
      </c>
      <c r="M14" s="16"/>
      <c r="N14" s="16">
        <f>100000+60000</f>
        <v>160000</v>
      </c>
      <c r="O14" s="62">
        <f t="shared" si="3"/>
        <v>160000</v>
      </c>
      <c r="P14" s="63">
        <f t="shared" ref="P14:P17" si="5">+O14+L14+I14+F14</f>
        <v>510000</v>
      </c>
    </row>
    <row r="15" spans="1:20">
      <c r="A15" s="98"/>
      <c r="B15" s="46"/>
      <c r="C15" s="15" t="s">
        <v>21</v>
      </c>
      <c r="D15" s="16"/>
      <c r="E15" s="16">
        <v>100000</v>
      </c>
      <c r="F15" s="62">
        <f t="shared" si="0"/>
        <v>100000</v>
      </c>
      <c r="G15" s="16"/>
      <c r="H15" s="16">
        <v>100000</v>
      </c>
      <c r="I15" s="62">
        <f t="shared" si="1"/>
        <v>100000</v>
      </c>
      <c r="J15" s="16"/>
      <c r="K15" s="16">
        <v>100000</v>
      </c>
      <c r="L15" s="62">
        <f t="shared" si="2"/>
        <v>100000</v>
      </c>
      <c r="M15" s="16"/>
      <c r="N15" s="16">
        <v>100000</v>
      </c>
      <c r="O15" s="62">
        <f t="shared" si="3"/>
        <v>100000</v>
      </c>
      <c r="P15" s="63">
        <f t="shared" si="5"/>
        <v>400000</v>
      </c>
    </row>
    <row r="16" spans="1:20" s="45" customFormat="1">
      <c r="A16" s="98"/>
      <c r="B16" s="46"/>
      <c r="C16" s="42" t="s">
        <v>78</v>
      </c>
      <c r="D16" s="50"/>
      <c r="E16" s="50">
        <v>783577</v>
      </c>
      <c r="F16" s="62">
        <f t="shared" ref="F16:F17" si="6">SUM(D16:E16)</f>
        <v>783577</v>
      </c>
      <c r="G16" s="50"/>
      <c r="H16" s="50">
        <v>2150000</v>
      </c>
      <c r="I16" s="62">
        <f t="shared" si="1"/>
        <v>2150000</v>
      </c>
      <c r="J16" s="50"/>
      <c r="K16" s="50">
        <v>650000</v>
      </c>
      <c r="L16" s="62">
        <f t="shared" si="2"/>
        <v>650000</v>
      </c>
      <c r="M16" s="50"/>
      <c r="N16" s="50">
        <v>800000</v>
      </c>
      <c r="O16" s="62">
        <f t="shared" si="3"/>
        <v>800000</v>
      </c>
      <c r="P16" s="63">
        <f t="shared" si="5"/>
        <v>4383577</v>
      </c>
      <c r="T16" s="56"/>
    </row>
    <row r="17" spans="1:20" s="45" customFormat="1">
      <c r="A17" s="98"/>
      <c r="B17" s="46"/>
      <c r="C17" s="42" t="s">
        <v>79</v>
      </c>
      <c r="D17" s="50"/>
      <c r="E17" s="50">
        <v>2754910</v>
      </c>
      <c r="F17" s="62">
        <f t="shared" si="6"/>
        <v>2754910</v>
      </c>
      <c r="G17" s="50"/>
      <c r="H17" s="50">
        <v>1750000</v>
      </c>
      <c r="I17" s="62">
        <f t="shared" si="1"/>
        <v>1750000</v>
      </c>
      <c r="J17" s="50"/>
      <c r="K17" s="50">
        <v>1700000</v>
      </c>
      <c r="L17" s="62">
        <f t="shared" si="2"/>
        <v>1700000</v>
      </c>
      <c r="M17" s="50"/>
      <c r="N17" s="50">
        <v>750000</v>
      </c>
      <c r="O17" s="62">
        <f t="shared" si="3"/>
        <v>750000</v>
      </c>
      <c r="P17" s="63">
        <f t="shared" si="5"/>
        <v>6954910</v>
      </c>
      <c r="T17" s="56"/>
    </row>
    <row r="18" spans="1:20" s="45" customFormat="1">
      <c r="A18" s="98"/>
      <c r="B18" s="78" t="s">
        <v>64</v>
      </c>
      <c r="C18" s="82"/>
      <c r="D18" s="83">
        <f>SUM(D19:D47)</f>
        <v>1349749.3869999999</v>
      </c>
      <c r="E18" s="83">
        <f>SUM(E19:E47)</f>
        <v>4689835.2700000005</v>
      </c>
      <c r="F18" s="86">
        <f>SUM(D18:E18)</f>
        <v>6039584.6570000006</v>
      </c>
      <c r="G18" s="83">
        <f>SUM(G19:G47)</f>
        <v>1075039.43</v>
      </c>
      <c r="H18" s="83">
        <f>SUM(H19:H47)</f>
        <v>5003128.5999999996</v>
      </c>
      <c r="I18" s="86">
        <f t="shared" si="1"/>
        <v>6078168.0299999993</v>
      </c>
      <c r="J18" s="83">
        <f>SUM(J19:J47)</f>
        <v>200000</v>
      </c>
      <c r="K18" s="83">
        <f>SUM(K19:K47)</f>
        <v>2390946.2999999998</v>
      </c>
      <c r="L18" s="86">
        <f t="shared" si="2"/>
        <v>2590946.2999999998</v>
      </c>
      <c r="M18" s="83">
        <f>SUM(M19:M47)</f>
        <v>0</v>
      </c>
      <c r="N18" s="83">
        <f>SUM(N19:N47)</f>
        <v>2925134.98</v>
      </c>
      <c r="O18" s="86">
        <f t="shared" si="3"/>
        <v>2925134.98</v>
      </c>
      <c r="P18" s="87">
        <f t="shared" ref="P18:P42" si="7">+O18+L18+I18+F18</f>
        <v>17633833.967</v>
      </c>
      <c r="T18" s="56"/>
    </row>
    <row r="19" spans="1:20">
      <c r="A19" s="98"/>
      <c r="B19" s="46"/>
      <c r="C19" s="39" t="s">
        <v>55</v>
      </c>
      <c r="D19" s="16"/>
      <c r="E19" s="16">
        <f>881964.22+114506.01</f>
        <v>996470.23</v>
      </c>
      <c r="F19" s="62">
        <f>SUM(D19:E19)</f>
        <v>996470.23</v>
      </c>
      <c r="G19" s="16"/>
      <c r="H19" s="50"/>
      <c r="I19" s="62">
        <f t="shared" si="1"/>
        <v>0</v>
      </c>
      <c r="J19" s="16"/>
      <c r="K19" s="16"/>
      <c r="L19" s="62">
        <f t="shared" si="2"/>
        <v>0</v>
      </c>
      <c r="M19" s="16"/>
      <c r="N19" s="16"/>
      <c r="O19" s="62">
        <f t="shared" si="3"/>
        <v>0</v>
      </c>
      <c r="P19" s="63">
        <f t="shared" si="7"/>
        <v>996470.23</v>
      </c>
    </row>
    <row r="20" spans="1:20">
      <c r="A20" s="98"/>
      <c r="B20" s="46"/>
      <c r="C20" s="39" t="s">
        <v>58</v>
      </c>
      <c r="D20" s="16"/>
      <c r="E20" s="16">
        <f>58500+13095.79</f>
        <v>71595.790000000008</v>
      </c>
      <c r="F20" s="62">
        <f>SUM(D20:E20)</f>
        <v>71595.790000000008</v>
      </c>
      <c r="G20" s="16"/>
      <c r="H20" s="16">
        <f>58500+250000+45619.77</f>
        <v>354119.77</v>
      </c>
      <c r="I20" s="62">
        <f t="shared" si="1"/>
        <v>354119.77</v>
      </c>
      <c r="J20" s="16"/>
      <c r="K20" s="16">
        <f>58500+1811.32</f>
        <v>60311.32</v>
      </c>
      <c r="L20" s="62">
        <f t="shared" si="2"/>
        <v>60311.32</v>
      </c>
      <c r="M20" s="16"/>
      <c r="N20" s="16">
        <v>58500</v>
      </c>
      <c r="O20" s="62">
        <f t="shared" si="3"/>
        <v>58500</v>
      </c>
      <c r="P20" s="63">
        <f t="shared" si="7"/>
        <v>544526.88</v>
      </c>
    </row>
    <row r="21" spans="1:20" s="45" customFormat="1">
      <c r="A21" s="98"/>
      <c r="B21" s="46"/>
      <c r="C21" s="39" t="s">
        <v>94</v>
      </c>
      <c r="D21" s="50"/>
      <c r="E21" s="50">
        <v>531800</v>
      </c>
      <c r="F21" s="62">
        <f>SUM(D21:E21)</f>
        <v>531800</v>
      </c>
      <c r="G21" s="50"/>
      <c r="H21" s="50">
        <v>390000</v>
      </c>
      <c r="I21" s="62">
        <f t="shared" si="1"/>
        <v>390000</v>
      </c>
      <c r="J21" s="50"/>
      <c r="K21" s="50">
        <v>180000</v>
      </c>
      <c r="L21" s="62">
        <f t="shared" si="2"/>
        <v>180000</v>
      </c>
      <c r="M21" s="50"/>
      <c r="N21" s="50">
        <v>50000</v>
      </c>
      <c r="O21" s="62">
        <f t="shared" si="3"/>
        <v>50000</v>
      </c>
      <c r="P21" s="63">
        <f t="shared" si="7"/>
        <v>1151800</v>
      </c>
      <c r="T21" s="56"/>
    </row>
    <row r="22" spans="1:20" s="45" customFormat="1">
      <c r="A22" s="99"/>
      <c r="B22" s="51"/>
      <c r="C22" s="69" t="s">
        <v>68</v>
      </c>
      <c r="D22" s="50"/>
      <c r="E22" s="50"/>
      <c r="F22" s="62"/>
      <c r="G22" s="50"/>
      <c r="H22" s="50">
        <v>250000</v>
      </c>
      <c r="I22" s="62">
        <f t="shared" si="1"/>
        <v>250000</v>
      </c>
      <c r="J22" s="50"/>
      <c r="K22" s="50"/>
      <c r="L22" s="62"/>
      <c r="M22" s="50"/>
      <c r="N22" s="50"/>
      <c r="O22" s="62"/>
      <c r="P22" s="63">
        <f t="shared" si="7"/>
        <v>250000</v>
      </c>
      <c r="T22" s="56"/>
    </row>
    <row r="23" spans="1:20" s="45" customFormat="1">
      <c r="A23" s="98"/>
      <c r="B23" s="46"/>
      <c r="C23" s="70" t="s">
        <v>98</v>
      </c>
      <c r="D23" s="50"/>
      <c r="E23" s="50"/>
      <c r="F23" s="62">
        <f t="shared" ref="F23:F35" si="8">SUM(D23:E23)</f>
        <v>0</v>
      </c>
      <c r="G23" s="50"/>
      <c r="H23" s="50"/>
      <c r="I23" s="62">
        <f t="shared" si="1"/>
        <v>0</v>
      </c>
      <c r="J23" s="50"/>
      <c r="K23" s="50">
        <v>500000</v>
      </c>
      <c r="L23" s="62">
        <f t="shared" ref="L23" si="9">SUM(J23:K23)</f>
        <v>500000</v>
      </c>
      <c r="M23" s="50"/>
      <c r="N23" s="50"/>
      <c r="O23" s="62">
        <f t="shared" ref="O23" si="10">SUM(M23:N23)</f>
        <v>0</v>
      </c>
      <c r="P23" s="63">
        <f t="shared" si="7"/>
        <v>500000</v>
      </c>
      <c r="T23" s="53"/>
    </row>
    <row r="24" spans="1:20">
      <c r="A24" s="98"/>
      <c r="B24" s="46"/>
      <c r="C24" s="42" t="s">
        <v>99</v>
      </c>
      <c r="D24" s="16"/>
      <c r="E24" s="16">
        <v>100000</v>
      </c>
      <c r="F24" s="62">
        <f t="shared" si="8"/>
        <v>100000</v>
      </c>
      <c r="G24" s="16"/>
      <c r="H24" s="16"/>
      <c r="I24" s="62">
        <f t="shared" si="1"/>
        <v>0</v>
      </c>
      <c r="J24" s="16"/>
      <c r="K24" s="16"/>
      <c r="L24" s="62">
        <f t="shared" ref="L24:L35" si="11">SUM(J24:K24)</f>
        <v>0</v>
      </c>
      <c r="M24" s="16"/>
      <c r="N24" s="16"/>
      <c r="O24" s="62">
        <f t="shared" ref="O24:O35" si="12">SUM(M24:N24)</f>
        <v>0</v>
      </c>
      <c r="P24" s="63">
        <f t="shared" si="7"/>
        <v>100000</v>
      </c>
    </row>
    <row r="25" spans="1:20">
      <c r="A25" s="98"/>
      <c r="B25" s="46"/>
      <c r="C25" s="70" t="s">
        <v>17</v>
      </c>
      <c r="D25" s="16"/>
      <c r="E25" s="16">
        <v>200000</v>
      </c>
      <c r="F25" s="62">
        <f t="shared" si="8"/>
        <v>200000</v>
      </c>
      <c r="G25" s="16"/>
      <c r="H25" s="16">
        <v>200000</v>
      </c>
      <c r="I25" s="62">
        <f t="shared" si="1"/>
        <v>200000</v>
      </c>
      <c r="J25" s="16"/>
      <c r="K25" s="16">
        <v>200000</v>
      </c>
      <c r="L25" s="62">
        <f t="shared" si="11"/>
        <v>200000</v>
      </c>
      <c r="M25" s="16"/>
      <c r="N25" s="16">
        <v>200000</v>
      </c>
      <c r="O25" s="62">
        <f t="shared" si="12"/>
        <v>200000</v>
      </c>
      <c r="P25" s="63">
        <f t="shared" si="7"/>
        <v>800000</v>
      </c>
    </row>
    <row r="26" spans="1:20">
      <c r="A26" s="98"/>
      <c r="B26" s="46"/>
      <c r="C26" s="15" t="s">
        <v>14</v>
      </c>
      <c r="D26" s="16"/>
      <c r="E26" s="16">
        <v>57520</v>
      </c>
      <c r="F26" s="62">
        <f t="shared" si="8"/>
        <v>57520</v>
      </c>
      <c r="G26" s="16"/>
      <c r="H26" s="16"/>
      <c r="I26" s="62">
        <f t="shared" si="1"/>
        <v>0</v>
      </c>
      <c r="J26" s="16"/>
      <c r="K26" s="16"/>
      <c r="L26" s="62">
        <f t="shared" si="11"/>
        <v>0</v>
      </c>
      <c r="M26" s="16"/>
      <c r="N26" s="16"/>
      <c r="O26" s="62">
        <f t="shared" si="12"/>
        <v>0</v>
      </c>
      <c r="P26" s="63">
        <f t="shared" si="7"/>
        <v>57520</v>
      </c>
    </row>
    <row r="27" spans="1:20" s="45" customFormat="1">
      <c r="A27" s="98"/>
      <c r="B27" s="46"/>
      <c r="C27" s="72" t="s">
        <v>100</v>
      </c>
      <c r="D27" s="50"/>
      <c r="E27" s="50">
        <v>300000</v>
      </c>
      <c r="F27" s="62">
        <f t="shared" si="8"/>
        <v>300000</v>
      </c>
      <c r="G27" s="50"/>
      <c r="H27" s="50"/>
      <c r="I27" s="62">
        <f t="shared" si="1"/>
        <v>0</v>
      </c>
      <c r="J27" s="50"/>
      <c r="K27" s="50"/>
      <c r="L27" s="62">
        <f t="shared" si="11"/>
        <v>0</v>
      </c>
      <c r="M27" s="50"/>
      <c r="N27" s="50"/>
      <c r="O27" s="62">
        <f t="shared" si="12"/>
        <v>0</v>
      </c>
      <c r="P27" s="63">
        <f t="shared" si="7"/>
        <v>300000</v>
      </c>
      <c r="T27" s="55"/>
    </row>
    <row r="28" spans="1:20">
      <c r="A28" s="98"/>
      <c r="B28" s="46"/>
      <c r="C28" s="15" t="s">
        <v>15</v>
      </c>
      <c r="D28" s="16">
        <v>655654.17999999993</v>
      </c>
      <c r="E28" s="16">
        <v>301626.47000000003</v>
      </c>
      <c r="F28" s="62">
        <f t="shared" si="8"/>
        <v>957280.64999999991</v>
      </c>
      <c r="G28" s="16"/>
      <c r="H28" s="16">
        <v>64303</v>
      </c>
      <c r="I28" s="62">
        <f t="shared" si="1"/>
        <v>64303</v>
      </c>
      <c r="J28" s="16"/>
      <c r="K28" s="16">
        <v>64303</v>
      </c>
      <c r="L28" s="62">
        <f t="shared" si="11"/>
        <v>64303</v>
      </c>
      <c r="M28" s="16"/>
      <c r="N28" s="16">
        <v>64303</v>
      </c>
      <c r="O28" s="62">
        <f t="shared" si="12"/>
        <v>64303</v>
      </c>
      <c r="P28" s="63">
        <f t="shared" si="7"/>
        <v>1150189.6499999999</v>
      </c>
    </row>
    <row r="29" spans="1:20">
      <c r="A29" s="98"/>
      <c r="B29" s="46"/>
      <c r="C29" s="15" t="s">
        <v>16</v>
      </c>
      <c r="D29" s="16">
        <v>124310.20699999999</v>
      </c>
      <c r="E29" s="16">
        <v>53275.8</v>
      </c>
      <c r="F29" s="62">
        <f t="shared" si="8"/>
        <v>177586.00699999998</v>
      </c>
      <c r="G29" s="16"/>
      <c r="H29" s="16"/>
      <c r="I29" s="62">
        <f t="shared" si="1"/>
        <v>0</v>
      </c>
      <c r="J29" s="16"/>
      <c r="K29" s="16"/>
      <c r="L29" s="62">
        <f t="shared" si="11"/>
        <v>0</v>
      </c>
      <c r="M29" s="16"/>
      <c r="N29" s="16"/>
      <c r="O29" s="62">
        <f t="shared" si="12"/>
        <v>0</v>
      </c>
      <c r="P29" s="63">
        <f t="shared" si="7"/>
        <v>177586.00699999998</v>
      </c>
    </row>
    <row r="30" spans="1:20" s="34" customFormat="1">
      <c r="A30" s="99"/>
      <c r="B30" s="51"/>
      <c r="C30" s="70" t="s">
        <v>46</v>
      </c>
      <c r="D30" s="35"/>
      <c r="E30" s="35">
        <v>475000</v>
      </c>
      <c r="F30" s="62">
        <f t="shared" si="8"/>
        <v>475000</v>
      </c>
      <c r="G30" s="35"/>
      <c r="H30" s="35"/>
      <c r="I30" s="62">
        <f t="shared" si="1"/>
        <v>0</v>
      </c>
      <c r="J30" s="35"/>
      <c r="K30" s="35"/>
      <c r="L30" s="62">
        <f t="shared" si="11"/>
        <v>0</v>
      </c>
      <c r="M30" s="35"/>
      <c r="N30" s="35"/>
      <c r="O30" s="62">
        <f t="shared" si="12"/>
        <v>0</v>
      </c>
      <c r="P30" s="63">
        <f t="shared" si="7"/>
        <v>475000</v>
      </c>
      <c r="T30" s="33"/>
    </row>
    <row r="31" spans="1:20" s="45" customFormat="1">
      <c r="A31" s="99"/>
      <c r="B31" s="51"/>
      <c r="C31" s="70" t="s">
        <v>18</v>
      </c>
      <c r="D31" s="50"/>
      <c r="E31" s="50">
        <v>200000</v>
      </c>
      <c r="F31" s="62">
        <f t="shared" si="8"/>
        <v>200000</v>
      </c>
      <c r="G31" s="50"/>
      <c r="H31" s="50">
        <v>200000</v>
      </c>
      <c r="I31" s="62">
        <f t="shared" si="1"/>
        <v>200000</v>
      </c>
      <c r="J31" s="50"/>
      <c r="K31" s="50">
        <v>200000</v>
      </c>
      <c r="L31" s="62">
        <f t="shared" si="11"/>
        <v>200000</v>
      </c>
      <c r="M31" s="50"/>
      <c r="N31" s="50">
        <v>200000</v>
      </c>
      <c r="O31" s="62">
        <f t="shared" si="12"/>
        <v>200000</v>
      </c>
      <c r="P31" s="63">
        <f t="shared" si="7"/>
        <v>800000</v>
      </c>
      <c r="T31" s="56"/>
    </row>
    <row r="32" spans="1:20" s="45" customFormat="1">
      <c r="A32" s="98"/>
      <c r="B32" s="46"/>
      <c r="C32" s="70" t="s">
        <v>101</v>
      </c>
      <c r="D32" s="50"/>
      <c r="E32" s="50">
        <v>450000</v>
      </c>
      <c r="F32" s="62">
        <f t="shared" si="8"/>
        <v>450000</v>
      </c>
      <c r="G32" s="50"/>
      <c r="H32" s="50">
        <v>350000</v>
      </c>
      <c r="I32" s="62">
        <f t="shared" si="1"/>
        <v>350000</v>
      </c>
      <c r="J32" s="50"/>
      <c r="K32" s="50">
        <v>184000</v>
      </c>
      <c r="L32" s="62">
        <f t="shared" si="11"/>
        <v>184000</v>
      </c>
      <c r="M32" s="50"/>
      <c r="N32" s="50"/>
      <c r="O32" s="62">
        <f t="shared" si="12"/>
        <v>0</v>
      </c>
      <c r="P32" s="63">
        <f t="shared" si="7"/>
        <v>984000</v>
      </c>
      <c r="T32" s="54"/>
    </row>
    <row r="33" spans="1:20" s="45" customFormat="1">
      <c r="A33" s="99"/>
      <c r="B33" s="51"/>
      <c r="C33" s="70" t="s">
        <v>65</v>
      </c>
      <c r="D33" s="50"/>
      <c r="E33" s="50"/>
      <c r="F33" s="62">
        <f t="shared" si="8"/>
        <v>0</v>
      </c>
      <c r="G33" s="50"/>
      <c r="H33" s="50"/>
      <c r="I33" s="62">
        <f t="shared" si="1"/>
        <v>0</v>
      </c>
      <c r="J33" s="50"/>
      <c r="K33" s="50"/>
      <c r="L33" s="62">
        <f t="shared" si="11"/>
        <v>0</v>
      </c>
      <c r="M33" s="50"/>
      <c r="N33" s="50">
        <v>100000</v>
      </c>
      <c r="O33" s="62">
        <f t="shared" si="12"/>
        <v>100000</v>
      </c>
      <c r="P33" s="63">
        <f t="shared" si="7"/>
        <v>100000</v>
      </c>
      <c r="T33" s="54"/>
    </row>
    <row r="34" spans="1:20" s="45" customFormat="1">
      <c r="A34" s="99"/>
      <c r="B34" s="51"/>
      <c r="C34" s="70" t="s">
        <v>102</v>
      </c>
      <c r="D34" s="50"/>
      <c r="E34" s="50"/>
      <c r="F34" s="62">
        <f t="shared" si="8"/>
        <v>0</v>
      </c>
      <c r="G34" s="50"/>
      <c r="H34" s="50"/>
      <c r="I34" s="62">
        <f t="shared" si="1"/>
        <v>0</v>
      </c>
      <c r="J34" s="50"/>
      <c r="K34" s="50"/>
      <c r="L34" s="62">
        <f t="shared" si="11"/>
        <v>0</v>
      </c>
      <c r="M34" s="50"/>
      <c r="N34" s="50">
        <v>100000</v>
      </c>
      <c r="O34" s="62">
        <f t="shared" si="12"/>
        <v>100000</v>
      </c>
      <c r="P34" s="63">
        <f t="shared" si="7"/>
        <v>100000</v>
      </c>
      <c r="T34" s="54"/>
    </row>
    <row r="35" spans="1:20" s="45" customFormat="1">
      <c r="A35" s="98"/>
      <c r="B35" s="46"/>
      <c r="C35" s="70" t="s">
        <v>103</v>
      </c>
      <c r="D35" s="50"/>
      <c r="E35" s="50"/>
      <c r="F35" s="62">
        <f t="shared" si="8"/>
        <v>0</v>
      </c>
      <c r="G35" s="50"/>
      <c r="H35" s="50">
        <v>900000</v>
      </c>
      <c r="I35" s="62">
        <f t="shared" si="1"/>
        <v>900000</v>
      </c>
      <c r="J35" s="50"/>
      <c r="K35" s="50"/>
      <c r="L35" s="62">
        <f t="shared" si="11"/>
        <v>0</v>
      </c>
      <c r="M35" s="50"/>
      <c r="N35" s="50"/>
      <c r="O35" s="62">
        <f t="shared" si="12"/>
        <v>0</v>
      </c>
      <c r="P35" s="63">
        <f t="shared" si="7"/>
        <v>900000</v>
      </c>
      <c r="T35" s="54"/>
    </row>
    <row r="36" spans="1:20" s="45" customFormat="1">
      <c r="A36" s="99"/>
      <c r="B36" s="51"/>
      <c r="C36" s="70" t="s">
        <v>104</v>
      </c>
      <c r="D36" s="50"/>
      <c r="E36" s="50"/>
      <c r="F36" s="62"/>
      <c r="G36" s="50"/>
      <c r="H36" s="50"/>
      <c r="I36" s="62"/>
      <c r="J36" s="50"/>
      <c r="K36" s="50"/>
      <c r="L36" s="62"/>
      <c r="M36" s="50"/>
      <c r="N36" s="50">
        <v>100000</v>
      </c>
      <c r="O36" s="62">
        <f t="shared" ref="O36:O37" si="13">SUM(M36:N36)</f>
        <v>100000</v>
      </c>
      <c r="P36" s="63">
        <f t="shared" si="7"/>
        <v>100000</v>
      </c>
      <c r="T36" s="56"/>
    </row>
    <row r="37" spans="1:20" s="45" customFormat="1">
      <c r="A37" s="99"/>
      <c r="B37" s="51"/>
      <c r="C37" s="69" t="s">
        <v>60</v>
      </c>
      <c r="D37" s="50"/>
      <c r="E37" s="50"/>
      <c r="F37" s="62">
        <f t="shared" ref="F37" si="14">SUM(D37:E37)</f>
        <v>0</v>
      </c>
      <c r="G37" s="50"/>
      <c r="H37" s="50"/>
      <c r="I37" s="62">
        <f t="shared" ref="I37" si="15">SUM(G37:H37)</f>
        <v>0</v>
      </c>
      <c r="J37" s="50"/>
      <c r="K37" s="50"/>
      <c r="L37" s="62">
        <f t="shared" ref="L37" si="16">SUM(J37:K37)</f>
        <v>0</v>
      </c>
      <c r="M37" s="50"/>
      <c r="N37" s="50">
        <v>400000</v>
      </c>
      <c r="O37" s="62">
        <f t="shared" si="13"/>
        <v>400000</v>
      </c>
      <c r="P37" s="63">
        <f t="shared" si="7"/>
        <v>400000</v>
      </c>
      <c r="T37" s="54"/>
    </row>
    <row r="38" spans="1:20" s="45" customFormat="1">
      <c r="A38" s="98"/>
      <c r="B38" s="46"/>
      <c r="C38" s="39" t="s">
        <v>105</v>
      </c>
      <c r="D38" s="50"/>
      <c r="E38" s="50">
        <v>150000</v>
      </c>
      <c r="F38" s="62">
        <f t="shared" ref="F38" si="17">SUM(D38:E38)</f>
        <v>150000</v>
      </c>
      <c r="G38" s="50"/>
      <c r="H38" s="50">
        <v>150000</v>
      </c>
      <c r="I38" s="62">
        <f t="shared" ref="I38" si="18">SUM(G38:H38)</f>
        <v>150000</v>
      </c>
      <c r="J38" s="50"/>
      <c r="K38" s="50">
        <v>150000</v>
      </c>
      <c r="L38" s="62">
        <f t="shared" ref="L38" si="19">SUM(J38:K38)</f>
        <v>150000</v>
      </c>
      <c r="M38" s="50"/>
      <c r="N38" s="50">
        <v>150000</v>
      </c>
      <c r="O38" s="62">
        <f t="shared" ref="O38" si="20">SUM(M38:N38)</f>
        <v>150000</v>
      </c>
      <c r="P38" s="63">
        <f t="shared" si="7"/>
        <v>600000</v>
      </c>
      <c r="T38" s="54"/>
    </row>
    <row r="39" spans="1:20">
      <c r="A39" s="98"/>
      <c r="B39" s="46"/>
      <c r="C39" s="70" t="s">
        <v>20</v>
      </c>
      <c r="D39" s="16"/>
      <c r="E39" s="16">
        <v>200000</v>
      </c>
      <c r="F39" s="62">
        <f>SUM(D39:E39)</f>
        <v>200000</v>
      </c>
      <c r="G39" s="16"/>
      <c r="H39" s="16">
        <v>200000</v>
      </c>
      <c r="I39" s="62">
        <f>SUM(G39:H39)</f>
        <v>200000</v>
      </c>
      <c r="J39" s="16"/>
      <c r="K39" s="16">
        <v>200000</v>
      </c>
      <c r="L39" s="62">
        <f>SUM(J39:K39)</f>
        <v>200000</v>
      </c>
      <c r="M39" s="16"/>
      <c r="N39" s="16">
        <v>200000</v>
      </c>
      <c r="O39" s="62">
        <f>SUM(M39:N39)</f>
        <v>200000</v>
      </c>
      <c r="P39" s="63">
        <f t="shared" si="7"/>
        <v>800000</v>
      </c>
    </row>
    <row r="40" spans="1:20">
      <c r="A40" s="98"/>
      <c r="B40" s="46"/>
      <c r="C40" s="70" t="s">
        <v>19</v>
      </c>
      <c r="D40" s="16"/>
      <c r="E40" s="16">
        <v>202331.98</v>
      </c>
      <c r="F40" s="62">
        <f>SUM(D40:E40)</f>
        <v>202331.98</v>
      </c>
      <c r="G40" s="16"/>
      <c r="H40" s="16">
        <v>202331.98</v>
      </c>
      <c r="I40" s="62">
        <f>SUM(G40:H40)</f>
        <v>202331.98</v>
      </c>
      <c r="J40" s="16"/>
      <c r="K40" s="16">
        <v>202331.98</v>
      </c>
      <c r="L40" s="62">
        <f>SUM(J40:K40)</f>
        <v>202331.98</v>
      </c>
      <c r="M40" s="16"/>
      <c r="N40" s="16">
        <v>202331.98</v>
      </c>
      <c r="O40" s="62">
        <f>SUM(M40:N40)</f>
        <v>202331.98</v>
      </c>
      <c r="P40" s="63">
        <f t="shared" si="7"/>
        <v>809327.92</v>
      </c>
    </row>
    <row r="41" spans="1:20" s="45" customFormat="1">
      <c r="A41" s="99"/>
      <c r="B41" s="51"/>
      <c r="C41" s="70" t="s">
        <v>106</v>
      </c>
      <c r="D41" s="50"/>
      <c r="E41" s="50"/>
      <c r="F41" s="62">
        <f>SUM(D41:E41)</f>
        <v>0</v>
      </c>
      <c r="G41" s="50">
        <v>950000</v>
      </c>
      <c r="H41" s="50">
        <v>950000</v>
      </c>
      <c r="I41" s="62">
        <f>SUM(G41:H41)</f>
        <v>1900000</v>
      </c>
      <c r="J41" s="50"/>
      <c r="K41" s="50"/>
      <c r="L41" s="62">
        <f>SUM(J41:K41)</f>
        <v>0</v>
      </c>
      <c r="M41" s="50"/>
      <c r="N41" s="50"/>
      <c r="O41" s="62">
        <f>SUM(M41:N41)</f>
        <v>0</v>
      </c>
      <c r="P41" s="63">
        <f t="shared" si="7"/>
        <v>1900000</v>
      </c>
      <c r="T41" s="56"/>
    </row>
    <row r="42" spans="1:20" s="37" customFormat="1">
      <c r="A42" s="98"/>
      <c r="B42" s="46"/>
      <c r="C42" s="39" t="s">
        <v>67</v>
      </c>
      <c r="D42" s="38"/>
      <c r="E42" s="38"/>
      <c r="F42" s="62">
        <f>SUM(D42:E42)</f>
        <v>0</v>
      </c>
      <c r="G42" s="38"/>
      <c r="H42" s="38">
        <v>502373.85</v>
      </c>
      <c r="I42" s="62">
        <f>SUM(G42:H42)</f>
        <v>502373.85</v>
      </c>
      <c r="J42" s="38"/>
      <c r="K42" s="38"/>
      <c r="L42" s="62">
        <f>SUM(J42:K42)</f>
        <v>0</v>
      </c>
      <c r="M42" s="38"/>
      <c r="N42" s="38"/>
      <c r="O42" s="62">
        <f>SUM(M42:N42)</f>
        <v>0</v>
      </c>
      <c r="P42" s="63">
        <f t="shared" si="7"/>
        <v>502373.85</v>
      </c>
      <c r="T42" s="36"/>
    </row>
    <row r="43" spans="1:20" s="45" customFormat="1">
      <c r="A43" s="99"/>
      <c r="B43" s="51"/>
      <c r="C43" s="70" t="s">
        <v>66</v>
      </c>
      <c r="D43" s="50">
        <v>569785</v>
      </c>
      <c r="E43" s="50">
        <f>720000-569785</f>
        <v>150215</v>
      </c>
      <c r="F43" s="62">
        <f>SUM(D43:E43)</f>
        <v>720000</v>
      </c>
      <c r="G43" s="50"/>
      <c r="H43" s="50"/>
      <c r="I43" s="62">
        <f t="shared" ref="I43" si="21">SUM(G43:H43)</f>
        <v>0</v>
      </c>
      <c r="J43" s="50"/>
      <c r="K43" s="50"/>
      <c r="L43" s="62">
        <f t="shared" ref="L43" si="22">SUM(J43:K43)</f>
        <v>0</v>
      </c>
      <c r="M43" s="50"/>
      <c r="N43" s="50"/>
      <c r="O43" s="62">
        <f t="shared" ref="O43" si="23">SUM(M43:N43)</f>
        <v>0</v>
      </c>
      <c r="P43" s="63">
        <f t="shared" ref="P43" si="24">+O43+L43+I43+F43</f>
        <v>720000</v>
      </c>
      <c r="T43" s="56"/>
    </row>
    <row r="44" spans="1:20" s="45" customFormat="1">
      <c r="A44" s="99"/>
      <c r="B44" s="51"/>
      <c r="C44" s="69" t="s">
        <v>61</v>
      </c>
      <c r="D44" s="50"/>
      <c r="E44" s="67"/>
      <c r="F44" s="62">
        <f t="shared" ref="F44" si="25">SUM(D44:E44)</f>
        <v>0</v>
      </c>
      <c r="G44" s="50"/>
      <c r="H44" s="50"/>
      <c r="I44" s="62">
        <f t="shared" ref="I44" si="26">SUM(G44:H44)</f>
        <v>0</v>
      </c>
      <c r="J44" s="50"/>
      <c r="K44" s="50"/>
      <c r="L44" s="62">
        <f t="shared" ref="L44" si="27">SUM(J44:K44)</f>
        <v>0</v>
      </c>
      <c r="M44" s="50"/>
      <c r="N44" s="50">
        <v>500000</v>
      </c>
      <c r="O44" s="62">
        <f t="shared" ref="O44" si="28">SUM(M44:N44)</f>
        <v>500000</v>
      </c>
      <c r="P44" s="63">
        <f t="shared" ref="P44" si="29">+O44+L44+I44+F44</f>
        <v>500000</v>
      </c>
      <c r="T44" s="56"/>
    </row>
    <row r="45" spans="1:20" ht="39" customHeight="1">
      <c r="A45" s="98"/>
      <c r="B45" s="46"/>
      <c r="C45" s="71" t="s">
        <v>107</v>
      </c>
      <c r="D45" s="16"/>
      <c r="E45" s="16">
        <v>250000</v>
      </c>
      <c r="F45" s="62">
        <f>SUM(D45:E45)</f>
        <v>250000</v>
      </c>
      <c r="G45" s="16">
        <v>100000</v>
      </c>
      <c r="H45" s="16">
        <v>140000</v>
      </c>
      <c r="I45" s="62">
        <f>SUM(G45:H45)</f>
        <v>240000</v>
      </c>
      <c r="J45" s="16">
        <v>100000</v>
      </c>
      <c r="K45" s="16">
        <v>50000</v>
      </c>
      <c r="L45" s="62">
        <f>SUM(J45:K45)</f>
        <v>150000</v>
      </c>
      <c r="M45" s="16"/>
      <c r="N45" s="16">
        <v>100000</v>
      </c>
      <c r="O45" s="62">
        <f>SUM(M45:N45)</f>
        <v>100000</v>
      </c>
      <c r="P45" s="63">
        <f>+O45+L45+I45+F45</f>
        <v>740000</v>
      </c>
    </row>
    <row r="46" spans="1:20">
      <c r="A46" s="98"/>
      <c r="B46" s="46"/>
      <c r="C46" s="39" t="s">
        <v>44</v>
      </c>
      <c r="D46" s="16"/>
      <c r="E46" s="16"/>
      <c r="F46" s="62">
        <f t="shared" ref="F46" si="30">SUM(D46:E46)</f>
        <v>0</v>
      </c>
      <c r="G46" s="16"/>
      <c r="H46" s="16">
        <v>150000</v>
      </c>
      <c r="I46" s="62">
        <f t="shared" ref="I46" si="31">SUM(G46:H46)</f>
        <v>150000</v>
      </c>
      <c r="J46" s="16">
        <v>100000</v>
      </c>
      <c r="K46" s="16">
        <v>400000</v>
      </c>
      <c r="L46" s="62">
        <f t="shared" ref="L46" si="32">SUM(J46:K46)</f>
        <v>500000</v>
      </c>
      <c r="M46" s="16"/>
      <c r="N46" s="16">
        <v>500000</v>
      </c>
      <c r="O46" s="62">
        <f t="shared" ref="O46" si="33">SUM(M46:N46)</f>
        <v>500000</v>
      </c>
      <c r="P46" s="63">
        <f>+O46+L46+I46+F46</f>
        <v>1150000</v>
      </c>
    </row>
    <row r="47" spans="1:20" s="45" customFormat="1">
      <c r="A47" s="98"/>
      <c r="B47" s="46"/>
      <c r="C47" s="39" t="s">
        <v>52</v>
      </c>
      <c r="D47" s="50"/>
      <c r="E47" s="50"/>
      <c r="F47" s="62"/>
      <c r="G47" s="50">
        <v>25039.43</v>
      </c>
      <c r="H47" s="50"/>
      <c r="I47" s="62">
        <f>SUM(G47:H47)</f>
        <v>25039.43</v>
      </c>
      <c r="J47" s="50"/>
      <c r="K47" s="50"/>
      <c r="L47" s="62">
        <f>SUM(J47:K47)</f>
        <v>0</v>
      </c>
      <c r="M47" s="50"/>
      <c r="N47" s="50"/>
      <c r="O47" s="62">
        <f>SUM(M47:N47)</f>
        <v>0</v>
      </c>
      <c r="P47" s="63">
        <f>+O47+L47+I47+F47</f>
        <v>25039.43</v>
      </c>
      <c r="T47" s="56"/>
    </row>
    <row r="48" spans="1:20" s="45" customFormat="1">
      <c r="A48" s="94" t="s">
        <v>69</v>
      </c>
      <c r="B48" s="79"/>
      <c r="C48" s="80"/>
      <c r="D48" s="81">
        <f>SUM(D49:D55)</f>
        <v>650470.44999999995</v>
      </c>
      <c r="E48" s="81">
        <f>SUM(E49:E55)</f>
        <v>1084451.1600000001</v>
      </c>
      <c r="F48" s="85">
        <f>SUM(D48:E48)</f>
        <v>1734921.61</v>
      </c>
      <c r="G48" s="81">
        <f>SUM(G49:G55)</f>
        <v>350000</v>
      </c>
      <c r="H48" s="81">
        <f>SUM(H49:H55)</f>
        <v>1508143.75</v>
      </c>
      <c r="I48" s="85">
        <f>SUM(G48:H48)</f>
        <v>1858143.75</v>
      </c>
      <c r="J48" s="81">
        <f>SUM(J49:J55)</f>
        <v>250000</v>
      </c>
      <c r="K48" s="81">
        <f>SUM(K49:K55)</f>
        <v>1458143.75</v>
      </c>
      <c r="L48" s="85">
        <f>SUM(J48:K48)</f>
        <v>1708143.75</v>
      </c>
      <c r="M48" s="81">
        <f>SUM(M49:M55)</f>
        <v>200000</v>
      </c>
      <c r="N48" s="81">
        <f>SUM(N49:N55)</f>
        <v>2403143.75</v>
      </c>
      <c r="O48" s="85">
        <f>SUM(M48:N48)</f>
        <v>2603143.75</v>
      </c>
      <c r="P48" s="87">
        <f t="shared" ref="P48" si="34">+O48+L48+I48+F48</f>
        <v>7904352.8600000003</v>
      </c>
      <c r="T48" s="56"/>
    </row>
    <row r="49" spans="1:20">
      <c r="A49" s="98"/>
      <c r="B49" s="46"/>
      <c r="C49" s="42" t="s">
        <v>108</v>
      </c>
      <c r="D49" s="16">
        <v>410470.45</v>
      </c>
      <c r="E49" s="16">
        <v>582868.03</v>
      </c>
      <c r="F49" s="62">
        <f>SUM(D49:E49)</f>
        <v>993338.48</v>
      </c>
      <c r="G49" s="16"/>
      <c r="H49" s="16"/>
      <c r="I49" s="62">
        <f>SUM(G49:H49)</f>
        <v>0</v>
      </c>
      <c r="J49" s="16"/>
      <c r="K49" s="16"/>
      <c r="L49" s="62">
        <f>SUM(J49:K49)</f>
        <v>0</v>
      </c>
      <c r="M49" s="16"/>
      <c r="N49" s="16"/>
      <c r="O49" s="62">
        <f>SUM(M49:N49)</f>
        <v>0</v>
      </c>
      <c r="P49" s="63">
        <f t="shared" ref="P49:P55" si="35">+O49+L49+I49+F49</f>
        <v>993338.48</v>
      </c>
    </row>
    <row r="50" spans="1:20">
      <c r="A50" s="98"/>
      <c r="B50" s="46"/>
      <c r="C50" s="15" t="s">
        <v>8</v>
      </c>
      <c r="D50" s="16">
        <v>240000</v>
      </c>
      <c r="E50" s="16">
        <f>137518.75+39064.38</f>
        <v>176583.13</v>
      </c>
      <c r="F50" s="62">
        <f>SUM(D50:E50)</f>
        <v>416583.13</v>
      </c>
      <c r="G50" s="16"/>
      <c r="H50" s="16">
        <v>78143.75</v>
      </c>
      <c r="I50" s="62">
        <f>SUM(G50:H50)</f>
        <v>78143.75</v>
      </c>
      <c r="J50" s="16"/>
      <c r="K50" s="16">
        <v>78143.75</v>
      </c>
      <c r="L50" s="62">
        <f>SUM(J50:K50)</f>
        <v>78143.75</v>
      </c>
      <c r="M50" s="16"/>
      <c r="N50" s="16">
        <v>78143.75</v>
      </c>
      <c r="O50" s="62">
        <f>SUM(M50:N50)</f>
        <v>78143.75</v>
      </c>
      <c r="P50" s="63">
        <f t="shared" si="35"/>
        <v>651014.38</v>
      </c>
    </row>
    <row r="51" spans="1:20" s="45" customFormat="1">
      <c r="A51" s="98"/>
      <c r="B51" s="46"/>
      <c r="C51" s="42" t="s">
        <v>3</v>
      </c>
      <c r="D51" s="50"/>
      <c r="E51" s="50"/>
      <c r="F51" s="62">
        <f>SUM(D51:E51)</f>
        <v>0</v>
      </c>
      <c r="G51" s="50"/>
      <c r="H51" s="50"/>
      <c r="I51" s="62">
        <f>SUM(G51:H51)</f>
        <v>0</v>
      </c>
      <c r="J51" s="50"/>
      <c r="K51" s="50"/>
      <c r="L51" s="62">
        <f>SUM(J51:K51)</f>
        <v>0</v>
      </c>
      <c r="M51" s="50"/>
      <c r="N51" s="50">
        <v>1000000</v>
      </c>
      <c r="O51" s="62">
        <f>SUM(M51:N51)</f>
        <v>1000000</v>
      </c>
      <c r="P51" s="63">
        <f t="shared" si="35"/>
        <v>1000000</v>
      </c>
      <c r="T51" s="56"/>
    </row>
    <row r="52" spans="1:20" s="45" customFormat="1">
      <c r="A52" s="98"/>
      <c r="B52" s="46"/>
      <c r="C52" s="39" t="s">
        <v>43</v>
      </c>
      <c r="D52" s="50"/>
      <c r="E52" s="50">
        <v>200000</v>
      </c>
      <c r="F52" s="62">
        <f t="shared" ref="F52" si="36">SUM(D52:E52)</f>
        <v>200000</v>
      </c>
      <c r="G52" s="50"/>
      <c r="H52" s="50">
        <v>180000</v>
      </c>
      <c r="I52" s="62">
        <f t="shared" ref="I52" si="37">SUM(G52:H52)</f>
        <v>180000</v>
      </c>
      <c r="J52" s="50"/>
      <c r="K52" s="50">
        <v>180000</v>
      </c>
      <c r="L52" s="62">
        <f t="shared" ref="L52" si="38">SUM(J52:K52)</f>
        <v>180000</v>
      </c>
      <c r="M52" s="50"/>
      <c r="N52" s="50">
        <v>500000</v>
      </c>
      <c r="O52" s="62">
        <f t="shared" ref="O52" si="39">SUM(M52:N52)</f>
        <v>500000</v>
      </c>
      <c r="P52" s="63">
        <f t="shared" si="35"/>
        <v>1060000</v>
      </c>
      <c r="T52" s="52"/>
    </row>
    <row r="53" spans="1:20">
      <c r="A53" s="98"/>
      <c r="B53" s="46"/>
      <c r="C53" s="15" t="s">
        <v>32</v>
      </c>
      <c r="D53" s="16"/>
      <c r="E53" s="16">
        <v>100000</v>
      </c>
      <c r="F53" s="62">
        <f>SUM(D53:E53)</f>
        <v>100000</v>
      </c>
      <c r="G53" s="16">
        <v>350000</v>
      </c>
      <c r="H53" s="16">
        <v>750000</v>
      </c>
      <c r="I53" s="62">
        <f>SUM(G53:H53)</f>
        <v>1100000</v>
      </c>
      <c r="J53" s="16">
        <v>250000</v>
      </c>
      <c r="K53" s="16">
        <v>750000</v>
      </c>
      <c r="L53" s="62">
        <f>SUM(J53:K53)</f>
        <v>1000000</v>
      </c>
      <c r="M53" s="16">
        <v>200000</v>
      </c>
      <c r="N53" s="16">
        <v>500000</v>
      </c>
      <c r="O53" s="62">
        <f>SUM(M53:N53)</f>
        <v>700000</v>
      </c>
      <c r="P53" s="63">
        <f t="shared" si="35"/>
        <v>2900000</v>
      </c>
    </row>
    <row r="54" spans="1:20">
      <c r="A54" s="98"/>
      <c r="B54" s="46"/>
      <c r="C54" s="15" t="s">
        <v>31</v>
      </c>
      <c r="D54" s="16"/>
      <c r="E54" s="16"/>
      <c r="F54" s="62">
        <f>SUM(D54:E54)</f>
        <v>0</v>
      </c>
      <c r="G54" s="16"/>
      <c r="H54" s="16">
        <v>300000</v>
      </c>
      <c r="I54" s="62">
        <f>SUM(G54:H54)</f>
        <v>300000</v>
      </c>
      <c r="J54" s="16"/>
      <c r="K54" s="16">
        <v>300000</v>
      </c>
      <c r="L54" s="62">
        <f>SUM(J54:K54)</f>
        <v>300000</v>
      </c>
      <c r="M54" s="16"/>
      <c r="N54" s="16">
        <v>300000</v>
      </c>
      <c r="O54" s="62">
        <f>SUM(M54:N54)</f>
        <v>300000</v>
      </c>
      <c r="P54" s="63">
        <f t="shared" si="35"/>
        <v>900000</v>
      </c>
    </row>
    <row r="55" spans="1:20">
      <c r="A55" s="98"/>
      <c r="B55" s="46"/>
      <c r="C55" s="42" t="s">
        <v>57</v>
      </c>
      <c r="D55" s="16"/>
      <c r="E55" s="16">
        <v>25000</v>
      </c>
      <c r="F55" s="62">
        <f t="shared" ref="F55" si="40">SUM(D55:E55)</f>
        <v>25000</v>
      </c>
      <c r="G55" s="16"/>
      <c r="H55" s="16">
        <f>25000+125000+50000</f>
        <v>200000</v>
      </c>
      <c r="I55" s="62">
        <f t="shared" ref="I55" si="41">SUM(G55:H55)</f>
        <v>200000</v>
      </c>
      <c r="J55" s="16"/>
      <c r="K55" s="50">
        <v>150000</v>
      </c>
      <c r="L55" s="62">
        <f t="shared" ref="L55" si="42">SUM(J55:K55)</f>
        <v>150000</v>
      </c>
      <c r="M55" s="16"/>
      <c r="N55" s="16">
        <v>25000</v>
      </c>
      <c r="O55" s="62">
        <f t="shared" ref="O55" si="43">SUM(M55:N55)</f>
        <v>25000</v>
      </c>
      <c r="P55" s="63">
        <f t="shared" si="35"/>
        <v>400000</v>
      </c>
    </row>
    <row r="56" spans="1:20" s="45" customFormat="1">
      <c r="A56" s="94" t="s">
        <v>77</v>
      </c>
      <c r="B56" s="79"/>
      <c r="C56" s="80"/>
      <c r="D56" s="81">
        <f>SUM(D57:D72)</f>
        <v>0</v>
      </c>
      <c r="E56" s="81">
        <f>SUM(E57:E72)</f>
        <v>2680258.5600000001</v>
      </c>
      <c r="F56" s="85">
        <f>SUM(D56:E56)</f>
        <v>2680258.5600000001</v>
      </c>
      <c r="G56" s="81">
        <f>SUM(G57:G72)</f>
        <v>0</v>
      </c>
      <c r="H56" s="81">
        <f>SUM(H57:H72)</f>
        <v>2857750.13</v>
      </c>
      <c r="I56" s="85">
        <f>SUM(G56:H56)</f>
        <v>2857750.13</v>
      </c>
      <c r="J56" s="81">
        <f>SUM(J57:J72)</f>
        <v>0</v>
      </c>
      <c r="K56" s="81">
        <f>SUM(K57:K72)</f>
        <v>5468511.1500000004</v>
      </c>
      <c r="L56" s="85">
        <f>SUM(J56:K56)</f>
        <v>5468511.1500000004</v>
      </c>
      <c r="M56" s="81">
        <f>SUM(M57:M72)</f>
        <v>0</v>
      </c>
      <c r="N56" s="81">
        <f>SUM(N57:N72)</f>
        <v>4660603.2699999996</v>
      </c>
      <c r="O56" s="85">
        <f>SUM(M56:N56)</f>
        <v>4660603.2699999996</v>
      </c>
      <c r="P56" s="87">
        <f t="shared" ref="P56" si="44">+O56+L56+I56+F56</f>
        <v>15667123.110000001</v>
      </c>
      <c r="T56" s="56"/>
    </row>
    <row r="57" spans="1:20" s="41" customFormat="1">
      <c r="A57" s="98"/>
      <c r="B57" s="46"/>
      <c r="C57" s="42" t="s">
        <v>2</v>
      </c>
      <c r="D57" s="43"/>
      <c r="E57" s="43"/>
      <c r="F57" s="62">
        <f>SUM(D57:E57)</f>
        <v>0</v>
      </c>
      <c r="G57" s="43"/>
      <c r="H57" s="43">
        <v>109266.57</v>
      </c>
      <c r="I57" s="62">
        <f>SUM(G57:H57)</f>
        <v>109266.57</v>
      </c>
      <c r="J57" s="43"/>
      <c r="K57" s="43"/>
      <c r="L57" s="62">
        <f>SUM(J57:K57)</f>
        <v>0</v>
      </c>
      <c r="M57" s="43"/>
      <c r="N57" s="43"/>
      <c r="O57" s="62">
        <f>SUM(M57:N57)</f>
        <v>0</v>
      </c>
      <c r="P57" s="63">
        <f>+O57+L57+I57+F57</f>
        <v>109266.57</v>
      </c>
      <c r="T57" s="40"/>
    </row>
    <row r="58" spans="1:20">
      <c r="A58" s="98"/>
      <c r="B58" s="46"/>
      <c r="C58" s="15" t="s">
        <v>25</v>
      </c>
      <c r="D58" s="16"/>
      <c r="E58" s="16"/>
      <c r="F58" s="62">
        <f>SUM(D58:E58)</f>
        <v>0</v>
      </c>
      <c r="G58" s="16"/>
      <c r="H58" s="16">
        <v>800000</v>
      </c>
      <c r="I58" s="62">
        <f>SUM(G58:H58)</f>
        <v>800000</v>
      </c>
      <c r="J58" s="16"/>
      <c r="K58" s="16">
        <v>825000</v>
      </c>
      <c r="L58" s="62">
        <f>SUM(J58:K58)</f>
        <v>825000</v>
      </c>
      <c r="M58" s="16"/>
      <c r="N58" s="16"/>
      <c r="O58" s="62">
        <f>SUM(M58:N58)</f>
        <v>0</v>
      </c>
      <c r="P58" s="63">
        <f t="shared" ref="P58:P63" si="45">+O58+L58+I58+F58</f>
        <v>1625000</v>
      </c>
    </row>
    <row r="59" spans="1:20">
      <c r="A59" s="98"/>
      <c r="B59" s="46"/>
      <c r="C59" s="39" t="s">
        <v>47</v>
      </c>
      <c r="D59" s="16"/>
      <c r="E59" s="16"/>
      <c r="F59" s="62">
        <f t="shared" ref="F59:F61" si="46">SUM(D59:E59)</f>
        <v>0</v>
      </c>
      <c r="G59" s="16"/>
      <c r="H59" s="16">
        <v>131846.56</v>
      </c>
      <c r="I59" s="62">
        <f t="shared" ref="I59:I61" si="47">SUM(G59:H59)</f>
        <v>131846.56</v>
      </c>
      <c r="J59" s="16"/>
      <c r="K59" s="16"/>
      <c r="L59" s="62">
        <f t="shared" ref="L59:L61" si="48">SUM(J59:K59)</f>
        <v>0</v>
      </c>
      <c r="M59" s="16"/>
      <c r="N59" s="16"/>
      <c r="O59" s="62">
        <f t="shared" ref="O59:O61" si="49">SUM(M59:N59)</f>
        <v>0</v>
      </c>
      <c r="P59" s="63">
        <f t="shared" si="45"/>
        <v>131846.56</v>
      </c>
    </row>
    <row r="60" spans="1:20">
      <c r="A60" s="98"/>
      <c r="B60" s="46"/>
      <c r="C60" s="39" t="s">
        <v>24</v>
      </c>
      <c r="D60" s="16"/>
      <c r="E60" s="16">
        <v>62400</v>
      </c>
      <c r="F60" s="62">
        <f>SUM(D60:E60)</f>
        <v>62400</v>
      </c>
      <c r="G60" s="16"/>
      <c r="H60" s="50">
        <v>260000</v>
      </c>
      <c r="I60" s="62">
        <f>SUM(G60:H60)</f>
        <v>260000</v>
      </c>
      <c r="J60" s="16"/>
      <c r="K60" s="50">
        <f>121117.56+324382.44+244400</f>
        <v>689900</v>
      </c>
      <c r="L60" s="62">
        <f>SUM(J60:K60)</f>
        <v>689900</v>
      </c>
      <c r="M60" s="16"/>
      <c r="N60" s="16"/>
      <c r="O60" s="62">
        <f>SUM(M60:N60)</f>
        <v>0</v>
      </c>
      <c r="P60" s="63">
        <f t="shared" si="45"/>
        <v>1012300</v>
      </c>
    </row>
    <row r="61" spans="1:20">
      <c r="A61" s="98"/>
      <c r="B61" s="46"/>
      <c r="C61" s="15" t="s">
        <v>29</v>
      </c>
      <c r="D61" s="16"/>
      <c r="E61" s="16"/>
      <c r="F61" s="62">
        <f t="shared" si="46"/>
        <v>0</v>
      </c>
      <c r="G61" s="16"/>
      <c r="H61" s="16"/>
      <c r="I61" s="62">
        <f t="shared" si="47"/>
        <v>0</v>
      </c>
      <c r="J61" s="16"/>
      <c r="K61" s="16">
        <v>1105082.1499999999</v>
      </c>
      <c r="L61" s="62">
        <f t="shared" si="48"/>
        <v>1105082.1499999999</v>
      </c>
      <c r="M61" s="16"/>
      <c r="N61" s="16"/>
      <c r="O61" s="62">
        <f t="shared" si="49"/>
        <v>0</v>
      </c>
      <c r="P61" s="63">
        <f t="shared" si="45"/>
        <v>1105082.1499999999</v>
      </c>
    </row>
    <row r="62" spans="1:20" s="45" customFormat="1">
      <c r="A62" s="98"/>
      <c r="B62" s="46"/>
      <c r="C62" s="42" t="s">
        <v>59</v>
      </c>
      <c r="D62" s="50"/>
      <c r="E62" s="50"/>
      <c r="F62" s="62">
        <f t="shared" ref="F62" si="50">SUM(D62:E62)</f>
        <v>0</v>
      </c>
      <c r="G62" s="50"/>
      <c r="H62" s="50"/>
      <c r="I62" s="62">
        <f t="shared" ref="I62" si="51">SUM(G62:H62)</f>
        <v>0</v>
      </c>
      <c r="J62" s="50"/>
      <c r="K62" s="50"/>
      <c r="L62" s="62">
        <f t="shared" ref="L62" si="52">SUM(J62:K62)</f>
        <v>0</v>
      </c>
      <c r="M62" s="50"/>
      <c r="N62" s="50">
        <f>500000+51721.27</f>
        <v>551721.27</v>
      </c>
      <c r="O62" s="62">
        <f t="shared" ref="O62" si="53">SUM(M62:N62)</f>
        <v>551721.27</v>
      </c>
      <c r="P62" s="63">
        <f t="shared" ref="P62" si="54">+O62+L62+I62+F62</f>
        <v>551721.27</v>
      </c>
      <c r="T62" s="56"/>
    </row>
    <row r="63" spans="1:20" s="45" customFormat="1">
      <c r="A63" s="98"/>
      <c r="B63" s="46"/>
      <c r="C63" s="42" t="s">
        <v>30</v>
      </c>
      <c r="D63" s="50"/>
      <c r="E63" s="50">
        <v>1675847.56</v>
      </c>
      <c r="F63" s="62">
        <f t="shared" ref="F63:F73" si="55">SUM(D63:E63)</f>
        <v>1675847.56</v>
      </c>
      <c r="G63" s="50"/>
      <c r="H63" s="50"/>
      <c r="I63" s="62">
        <f t="shared" ref="I63:I72" si="56">SUM(G63:H63)</f>
        <v>0</v>
      </c>
      <c r="J63" s="50"/>
      <c r="K63" s="50"/>
      <c r="L63" s="62">
        <f t="shared" ref="L63" si="57">SUM(J63:K63)</f>
        <v>0</v>
      </c>
      <c r="M63" s="50"/>
      <c r="N63" s="50"/>
      <c r="O63" s="62">
        <f t="shared" ref="O63" si="58">SUM(M63:N63)</f>
        <v>0</v>
      </c>
      <c r="P63" s="63">
        <f t="shared" si="45"/>
        <v>1675847.56</v>
      </c>
      <c r="T63" s="56"/>
    </row>
    <row r="64" spans="1:20" s="45" customFormat="1">
      <c r="A64" s="98"/>
      <c r="B64" s="46"/>
      <c r="C64" s="42" t="s">
        <v>80</v>
      </c>
      <c r="D64" s="50"/>
      <c r="E64" s="50">
        <v>22000</v>
      </c>
      <c r="F64" s="62">
        <f t="shared" si="55"/>
        <v>22000</v>
      </c>
      <c r="G64" s="50"/>
      <c r="H64" s="50">
        <v>50000</v>
      </c>
      <c r="I64" s="62">
        <f t="shared" si="56"/>
        <v>50000</v>
      </c>
      <c r="J64" s="50"/>
      <c r="K64" s="50">
        <v>1643255</v>
      </c>
      <c r="L64" s="62">
        <f t="shared" ref="L64:L70" si="59">SUM(J64:K64)</f>
        <v>1643255</v>
      </c>
      <c r="M64" s="50"/>
      <c r="N64" s="50"/>
      <c r="O64" s="62">
        <f t="shared" ref="O64" si="60">SUM(M64:N64)</f>
        <v>0</v>
      </c>
      <c r="P64" s="63">
        <f t="shared" ref="P64" si="61">+O64+L64+I64+F64</f>
        <v>1715255</v>
      </c>
      <c r="T64" s="56"/>
    </row>
    <row r="65" spans="1:20" s="45" customFormat="1">
      <c r="A65" s="98"/>
      <c r="B65" s="46"/>
      <c r="C65" s="42" t="s">
        <v>81</v>
      </c>
      <c r="D65" s="50"/>
      <c r="E65" s="50">
        <v>186375</v>
      </c>
      <c r="F65" s="62">
        <f t="shared" si="55"/>
        <v>186375</v>
      </c>
      <c r="G65" s="50"/>
      <c r="H65" s="50">
        <v>945784</v>
      </c>
      <c r="I65" s="62">
        <f t="shared" si="56"/>
        <v>945784</v>
      </c>
      <c r="J65" s="50"/>
      <c r="K65" s="50">
        <v>315261</v>
      </c>
      <c r="L65" s="62">
        <f t="shared" si="59"/>
        <v>315261</v>
      </c>
      <c r="M65" s="50"/>
      <c r="N65" s="50"/>
      <c r="O65" s="62">
        <f t="shared" ref="O65:O70" si="62">SUM(M65:N65)</f>
        <v>0</v>
      </c>
      <c r="P65" s="63">
        <f t="shared" ref="P65:P70" si="63">+O65+L65+I65+F65</f>
        <v>1447420</v>
      </c>
      <c r="T65" s="56"/>
    </row>
    <row r="66" spans="1:20" s="45" customFormat="1">
      <c r="A66" s="98"/>
      <c r="B66" s="46"/>
      <c r="C66" s="42" t="s">
        <v>82</v>
      </c>
      <c r="D66" s="50"/>
      <c r="E66" s="50">
        <v>448320</v>
      </c>
      <c r="F66" s="62">
        <f t="shared" si="55"/>
        <v>448320</v>
      </c>
      <c r="G66" s="50"/>
      <c r="H66" s="50">
        <v>200000</v>
      </c>
      <c r="I66" s="62">
        <f t="shared" si="56"/>
        <v>200000</v>
      </c>
      <c r="J66" s="50"/>
      <c r="K66" s="50">
        <v>200000</v>
      </c>
      <c r="L66" s="62">
        <f t="shared" si="59"/>
        <v>200000</v>
      </c>
      <c r="M66" s="50"/>
      <c r="N66" s="50">
        <v>2603186</v>
      </c>
      <c r="O66" s="62">
        <f t="shared" si="62"/>
        <v>2603186</v>
      </c>
      <c r="P66" s="63">
        <f t="shared" si="63"/>
        <v>3451506</v>
      </c>
      <c r="T66" s="56"/>
    </row>
    <row r="67" spans="1:20" s="45" customFormat="1">
      <c r="A67" s="98"/>
      <c r="B67" s="46"/>
      <c r="C67" s="42" t="s">
        <v>86</v>
      </c>
      <c r="D67" s="50"/>
      <c r="E67" s="50"/>
      <c r="F67" s="62">
        <f t="shared" si="55"/>
        <v>0</v>
      </c>
      <c r="G67" s="50"/>
      <c r="H67" s="50">
        <v>100000</v>
      </c>
      <c r="I67" s="62">
        <f t="shared" si="56"/>
        <v>100000</v>
      </c>
      <c r="J67" s="50"/>
      <c r="K67" s="50"/>
      <c r="L67" s="62">
        <f t="shared" si="59"/>
        <v>0</v>
      </c>
      <c r="M67" s="50"/>
      <c r="N67" s="50"/>
      <c r="O67" s="62">
        <f t="shared" si="62"/>
        <v>0</v>
      </c>
      <c r="P67" s="63">
        <f t="shared" si="63"/>
        <v>100000</v>
      </c>
      <c r="T67" s="56"/>
    </row>
    <row r="68" spans="1:20" s="45" customFormat="1">
      <c r="A68" s="98"/>
      <c r="B68" s="46"/>
      <c r="C68" s="42" t="s">
        <v>83</v>
      </c>
      <c r="D68" s="50"/>
      <c r="E68" s="50"/>
      <c r="F68" s="62">
        <f t="shared" si="55"/>
        <v>0</v>
      </c>
      <c r="G68" s="50"/>
      <c r="H68" s="50">
        <v>210853</v>
      </c>
      <c r="I68" s="62">
        <f t="shared" si="56"/>
        <v>210853</v>
      </c>
      <c r="J68" s="50"/>
      <c r="K68" s="50">
        <v>690013</v>
      </c>
      <c r="L68" s="62">
        <f t="shared" si="59"/>
        <v>690013</v>
      </c>
      <c r="M68" s="50"/>
      <c r="N68" s="50">
        <v>690013</v>
      </c>
      <c r="O68" s="62">
        <f t="shared" si="62"/>
        <v>690013</v>
      </c>
      <c r="P68" s="63">
        <f t="shared" si="63"/>
        <v>1590879</v>
      </c>
      <c r="T68" s="56"/>
    </row>
    <row r="69" spans="1:20" s="45" customFormat="1">
      <c r="A69" s="98"/>
      <c r="B69" s="46"/>
      <c r="C69" s="42" t="s">
        <v>84</v>
      </c>
      <c r="D69" s="50"/>
      <c r="E69" s="50"/>
      <c r="F69" s="62">
        <f t="shared" si="55"/>
        <v>0</v>
      </c>
      <c r="G69" s="50"/>
      <c r="H69" s="50"/>
      <c r="I69" s="62">
        <f t="shared" si="56"/>
        <v>0</v>
      </c>
      <c r="J69" s="50"/>
      <c r="K69" s="50"/>
      <c r="L69" s="62">
        <f t="shared" si="59"/>
        <v>0</v>
      </c>
      <c r="M69" s="50"/>
      <c r="N69" s="50">
        <v>815683</v>
      </c>
      <c r="O69" s="62">
        <f t="shared" si="62"/>
        <v>815683</v>
      </c>
      <c r="P69" s="63">
        <f t="shared" si="63"/>
        <v>815683</v>
      </c>
      <c r="T69" s="56"/>
    </row>
    <row r="70" spans="1:20" s="45" customFormat="1">
      <c r="A70" s="98"/>
      <c r="B70" s="46"/>
      <c r="C70" s="42" t="s">
        <v>85</v>
      </c>
      <c r="D70" s="50"/>
      <c r="E70" s="50">
        <v>215316</v>
      </c>
      <c r="F70" s="62">
        <f t="shared" si="55"/>
        <v>215316</v>
      </c>
      <c r="G70" s="50"/>
      <c r="H70" s="50"/>
      <c r="I70" s="62">
        <f t="shared" si="56"/>
        <v>0</v>
      </c>
      <c r="J70" s="50"/>
      <c r="K70" s="50"/>
      <c r="L70" s="62">
        <f t="shared" si="59"/>
        <v>0</v>
      </c>
      <c r="M70" s="50"/>
      <c r="N70" s="50"/>
      <c r="O70" s="62">
        <f t="shared" si="62"/>
        <v>0</v>
      </c>
      <c r="P70" s="63">
        <f t="shared" si="63"/>
        <v>215316</v>
      </c>
      <c r="T70" s="56"/>
    </row>
    <row r="71" spans="1:20" s="45" customFormat="1">
      <c r="A71" s="98"/>
      <c r="B71" s="46"/>
      <c r="C71" s="42" t="s">
        <v>87</v>
      </c>
      <c r="D71" s="50"/>
      <c r="E71" s="50"/>
      <c r="F71" s="62">
        <f t="shared" si="55"/>
        <v>0</v>
      </c>
      <c r="G71" s="50"/>
      <c r="H71" s="50">
        <v>50000</v>
      </c>
      <c r="I71" s="62">
        <f t="shared" si="56"/>
        <v>50000</v>
      </c>
      <c r="J71" s="50"/>
      <c r="K71" s="50"/>
      <c r="L71" s="62">
        <f t="shared" ref="L71:L72" si="64">SUM(J71:K71)</f>
        <v>0</v>
      </c>
      <c r="M71" s="50"/>
      <c r="N71" s="50"/>
      <c r="O71" s="62">
        <f t="shared" ref="O71:O72" si="65">SUM(M71:N71)</f>
        <v>0</v>
      </c>
      <c r="P71" s="63">
        <f t="shared" ref="P71:P72" si="66">+O71+L71+I71+F71</f>
        <v>50000</v>
      </c>
      <c r="T71" s="56"/>
    </row>
    <row r="72" spans="1:20" s="45" customFormat="1">
      <c r="A72" s="98"/>
      <c r="B72" s="46"/>
      <c r="C72" s="42" t="s">
        <v>88</v>
      </c>
      <c r="D72" s="50"/>
      <c r="E72" s="50">
        <v>70000</v>
      </c>
      <c r="F72" s="62">
        <f t="shared" si="55"/>
        <v>70000</v>
      </c>
      <c r="G72" s="50"/>
      <c r="H72" s="50"/>
      <c r="I72" s="62">
        <f t="shared" si="56"/>
        <v>0</v>
      </c>
      <c r="J72" s="50"/>
      <c r="K72" s="50"/>
      <c r="L72" s="62">
        <f t="shared" si="64"/>
        <v>0</v>
      </c>
      <c r="M72" s="50"/>
      <c r="N72" s="50"/>
      <c r="O72" s="62">
        <f t="shared" si="65"/>
        <v>0</v>
      </c>
      <c r="P72" s="63">
        <f t="shared" si="66"/>
        <v>70000</v>
      </c>
      <c r="T72" s="56"/>
    </row>
    <row r="73" spans="1:20" s="45" customFormat="1">
      <c r="A73" s="94" t="s">
        <v>70</v>
      </c>
      <c r="B73" s="79"/>
      <c r="C73" s="80"/>
      <c r="D73" s="81">
        <f>SUM(D74:D79)</f>
        <v>717607.01652892574</v>
      </c>
      <c r="E73" s="81">
        <f>SUM(E74:E79)</f>
        <v>1659001.96</v>
      </c>
      <c r="F73" s="85">
        <f t="shared" si="55"/>
        <v>2376608.9765289258</v>
      </c>
      <c r="G73" s="81">
        <f>SUM(G74:G79)</f>
        <v>871714.57024793385</v>
      </c>
      <c r="H73" s="81">
        <f>SUM(H74:H79)</f>
        <v>1329234.69</v>
      </c>
      <c r="I73" s="85">
        <f t="shared" ref="I73" si="67">SUM(G73:H73)</f>
        <v>2200949.2602479337</v>
      </c>
      <c r="J73" s="81">
        <f>SUM(J74:J79)</f>
        <v>266000</v>
      </c>
      <c r="K73" s="81">
        <f>SUM(K74:K79)</f>
        <v>1110000</v>
      </c>
      <c r="L73" s="85">
        <f t="shared" ref="L73" si="68">SUM(J73:K73)</f>
        <v>1376000</v>
      </c>
      <c r="M73" s="81">
        <f>SUM(M74:M79)</f>
        <v>266000</v>
      </c>
      <c r="N73" s="81">
        <f>SUM(N74:N79)</f>
        <v>1060000</v>
      </c>
      <c r="O73" s="85">
        <f t="shared" ref="O73" si="69">SUM(M73:N73)</f>
        <v>1326000</v>
      </c>
      <c r="P73" s="87">
        <f t="shared" ref="P73" si="70">+O73+L73+I73+F73</f>
        <v>7279558.2367768595</v>
      </c>
      <c r="T73" s="56"/>
    </row>
    <row r="74" spans="1:20">
      <c r="A74" s="98"/>
      <c r="B74" s="46"/>
      <c r="C74" s="39" t="s">
        <v>50</v>
      </c>
      <c r="D74" s="16">
        <v>633610.06198347115</v>
      </c>
      <c r="E74" s="16">
        <v>899726.29</v>
      </c>
      <c r="F74" s="62">
        <f t="shared" ref="F74:F79" si="71">SUM(D74:E74)</f>
        <v>1533336.3519834713</v>
      </c>
      <c r="G74" s="16">
        <v>541714.57024793385</v>
      </c>
      <c r="H74" s="16">
        <v>769234.69000000006</v>
      </c>
      <c r="I74" s="62">
        <f t="shared" ref="I74:I79" si="72">SUM(G74:H74)</f>
        <v>1310949.2602479339</v>
      </c>
      <c r="J74" s="16">
        <v>100000</v>
      </c>
      <c r="K74" s="16">
        <v>750000</v>
      </c>
      <c r="L74" s="62">
        <f t="shared" ref="L74:L79" si="73">SUM(J74:K74)</f>
        <v>850000</v>
      </c>
      <c r="M74" s="16">
        <v>100000</v>
      </c>
      <c r="N74" s="16">
        <v>750000</v>
      </c>
      <c r="O74" s="62">
        <f t="shared" ref="O74:O79" si="74">SUM(M74:N74)</f>
        <v>850000</v>
      </c>
      <c r="P74" s="63">
        <f t="shared" ref="P74:P79" si="75">+O74+L74+I74+F74</f>
        <v>4544285.6122314055</v>
      </c>
    </row>
    <row r="75" spans="1:20">
      <c r="A75" s="98"/>
      <c r="B75" s="46"/>
      <c r="C75" s="39" t="s">
        <v>9</v>
      </c>
      <c r="D75" s="16">
        <v>41568.462809917357</v>
      </c>
      <c r="E75" s="16">
        <v>59027.219999999994</v>
      </c>
      <c r="F75" s="62">
        <f t="shared" si="71"/>
        <v>100595.68280991734</v>
      </c>
      <c r="G75" s="16"/>
      <c r="H75" s="16"/>
      <c r="I75" s="62">
        <f t="shared" si="72"/>
        <v>0</v>
      </c>
      <c r="J75" s="16"/>
      <c r="K75" s="16"/>
      <c r="L75" s="62">
        <f t="shared" si="73"/>
        <v>0</v>
      </c>
      <c r="M75" s="16"/>
      <c r="N75" s="16"/>
      <c r="O75" s="62">
        <f t="shared" si="74"/>
        <v>0</v>
      </c>
      <c r="P75" s="63">
        <f t="shared" si="75"/>
        <v>100595.68280991734</v>
      </c>
    </row>
    <row r="76" spans="1:20">
      <c r="A76" s="98"/>
      <c r="B76" s="46"/>
      <c r="C76" s="39" t="s">
        <v>10</v>
      </c>
      <c r="D76" s="16">
        <v>35973.946280991739</v>
      </c>
      <c r="E76" s="16">
        <v>51083</v>
      </c>
      <c r="F76" s="62">
        <f t="shared" si="71"/>
        <v>87056.946280991746</v>
      </c>
      <c r="G76" s="16"/>
      <c r="H76" s="16"/>
      <c r="I76" s="62">
        <f t="shared" si="72"/>
        <v>0</v>
      </c>
      <c r="J76" s="16"/>
      <c r="K76" s="16"/>
      <c r="L76" s="62">
        <f t="shared" si="73"/>
        <v>0</v>
      </c>
      <c r="M76" s="16"/>
      <c r="N76" s="16"/>
      <c r="O76" s="62">
        <f t="shared" si="74"/>
        <v>0</v>
      </c>
      <c r="P76" s="63">
        <f t="shared" si="75"/>
        <v>87056.946280991746</v>
      </c>
    </row>
    <row r="77" spans="1:20">
      <c r="A77" s="98"/>
      <c r="B77" s="46"/>
      <c r="C77" s="39" t="s">
        <v>11</v>
      </c>
      <c r="D77" s="16">
        <v>6454.545454545455</v>
      </c>
      <c r="E77" s="16">
        <v>9165.4500000000007</v>
      </c>
      <c r="F77" s="62">
        <f t="shared" si="71"/>
        <v>15619.995454545457</v>
      </c>
      <c r="G77" s="16"/>
      <c r="H77" s="16"/>
      <c r="I77" s="62">
        <f t="shared" si="72"/>
        <v>0</v>
      </c>
      <c r="J77" s="16"/>
      <c r="K77" s="16"/>
      <c r="L77" s="62">
        <f t="shared" si="73"/>
        <v>0</v>
      </c>
      <c r="M77" s="16"/>
      <c r="N77" s="16"/>
      <c r="O77" s="62">
        <f t="shared" si="74"/>
        <v>0</v>
      </c>
      <c r="P77" s="63">
        <f t="shared" si="75"/>
        <v>15619.995454545457</v>
      </c>
    </row>
    <row r="78" spans="1:20">
      <c r="A78" s="98"/>
      <c r="B78" s="46"/>
      <c r="C78" s="39" t="s">
        <v>12</v>
      </c>
      <c r="D78" s="16"/>
      <c r="E78" s="16">
        <v>500000</v>
      </c>
      <c r="F78" s="62">
        <f t="shared" si="71"/>
        <v>500000</v>
      </c>
      <c r="G78" s="16">
        <v>330000</v>
      </c>
      <c r="H78" s="16">
        <v>500000</v>
      </c>
      <c r="I78" s="62">
        <f t="shared" si="72"/>
        <v>830000</v>
      </c>
      <c r="J78" s="16">
        <v>166000</v>
      </c>
      <c r="K78" s="16">
        <v>250000</v>
      </c>
      <c r="L78" s="62">
        <f t="shared" si="73"/>
        <v>416000</v>
      </c>
      <c r="M78" s="16">
        <v>166000</v>
      </c>
      <c r="N78" s="16">
        <v>250000</v>
      </c>
      <c r="O78" s="62">
        <f t="shared" si="74"/>
        <v>416000</v>
      </c>
      <c r="P78" s="63">
        <f t="shared" si="75"/>
        <v>2162000</v>
      </c>
    </row>
    <row r="79" spans="1:20" s="45" customFormat="1">
      <c r="A79" s="98"/>
      <c r="B79" s="46"/>
      <c r="C79" s="39" t="s">
        <v>92</v>
      </c>
      <c r="D79" s="50"/>
      <c r="E79" s="50">
        <v>140000</v>
      </c>
      <c r="F79" s="62">
        <f t="shared" si="71"/>
        <v>140000</v>
      </c>
      <c r="G79" s="50"/>
      <c r="H79" s="50">
        <v>60000</v>
      </c>
      <c r="I79" s="62">
        <f t="shared" si="72"/>
        <v>60000</v>
      </c>
      <c r="J79" s="50"/>
      <c r="K79" s="50">
        <v>110000</v>
      </c>
      <c r="L79" s="62">
        <f t="shared" si="73"/>
        <v>110000</v>
      </c>
      <c r="M79" s="50"/>
      <c r="N79" s="50">
        <v>60000</v>
      </c>
      <c r="O79" s="62">
        <f t="shared" si="74"/>
        <v>60000</v>
      </c>
      <c r="P79" s="63">
        <f t="shared" si="75"/>
        <v>370000</v>
      </c>
      <c r="T79" s="56"/>
    </row>
    <row r="80" spans="1:20" s="45" customFormat="1">
      <c r="A80" s="94" t="s">
        <v>71</v>
      </c>
      <c r="B80" s="79"/>
      <c r="C80" s="80"/>
      <c r="D80" s="81">
        <f>SUM(D81)</f>
        <v>0</v>
      </c>
      <c r="E80" s="81">
        <f>SUM(E81)</f>
        <v>1557538.5</v>
      </c>
      <c r="F80" s="85">
        <f t="shared" ref="F80:F81" si="76">SUM(D80:E80)</f>
        <v>1557538.5</v>
      </c>
      <c r="G80" s="81">
        <f>SUM(G81)</f>
        <v>0</v>
      </c>
      <c r="H80" s="81">
        <f>SUM(H81)</f>
        <v>1400000</v>
      </c>
      <c r="I80" s="85">
        <f t="shared" ref="I80" si="77">SUM(G80:H80)</f>
        <v>1400000</v>
      </c>
      <c r="J80" s="81">
        <f>SUM(J81)</f>
        <v>0</v>
      </c>
      <c r="K80" s="81">
        <f>SUM(K81)</f>
        <v>1400000</v>
      </c>
      <c r="L80" s="85">
        <f t="shared" ref="L80" si="78">SUM(J80:K80)</f>
        <v>1400000</v>
      </c>
      <c r="M80" s="81">
        <f>SUM(M81)</f>
        <v>0</v>
      </c>
      <c r="N80" s="81">
        <f>SUM(N81)</f>
        <v>1400000</v>
      </c>
      <c r="O80" s="85">
        <f t="shared" ref="O80" si="79">SUM(M80:N80)</f>
        <v>1400000</v>
      </c>
      <c r="P80" s="87">
        <f t="shared" ref="P80" si="80">+O80+L80+I80+F80</f>
        <v>5757538.5</v>
      </c>
      <c r="T80" s="56"/>
    </row>
    <row r="81" spans="1:20">
      <c r="A81" s="98"/>
      <c r="B81" s="74"/>
      <c r="C81" s="2" t="s">
        <v>13</v>
      </c>
      <c r="D81" s="3"/>
      <c r="E81" s="3">
        <v>1557538.5</v>
      </c>
      <c r="F81" s="62">
        <f t="shared" si="76"/>
        <v>1557538.5</v>
      </c>
      <c r="G81" s="3"/>
      <c r="H81" s="47">
        <v>1400000</v>
      </c>
      <c r="I81" s="62">
        <f t="shared" ref="I81:I82" si="81">SUM(G81:H81)</f>
        <v>1400000</v>
      </c>
      <c r="J81" s="3"/>
      <c r="K81" s="47">
        <v>1400000</v>
      </c>
      <c r="L81" s="62">
        <f t="shared" ref="L81:L82" si="82">SUM(J81:K81)</f>
        <v>1400000</v>
      </c>
      <c r="M81" s="3"/>
      <c r="N81" s="47">
        <v>1400000</v>
      </c>
      <c r="O81" s="62">
        <f t="shared" ref="O81:O82" si="83">SUM(M81:N81)</f>
        <v>1400000</v>
      </c>
      <c r="P81" s="63">
        <f>+O81+L81+I81+F81</f>
        <v>5757538.5</v>
      </c>
    </row>
    <row r="82" spans="1:20" s="45" customFormat="1">
      <c r="A82" s="94" t="s">
        <v>72</v>
      </c>
      <c r="B82" s="79"/>
      <c r="C82" s="80"/>
      <c r="D82" s="81">
        <f>SUM(D83:D85)</f>
        <v>508315.95</v>
      </c>
      <c r="E82" s="81">
        <f>SUM(E83:E85)</f>
        <v>1163684.05</v>
      </c>
      <c r="F82" s="85">
        <f t="shared" ref="F82:F85" si="84">SUM(D82:E82)</f>
        <v>1672000</v>
      </c>
      <c r="G82" s="81">
        <f>SUM(G83:G85)</f>
        <v>719100.17</v>
      </c>
      <c r="H82" s="81">
        <f>SUM(H83:H85)</f>
        <v>1086899.83</v>
      </c>
      <c r="I82" s="85">
        <f t="shared" si="81"/>
        <v>1806000</v>
      </c>
      <c r="J82" s="81">
        <f>SUM(J83:J85)</f>
        <v>100000</v>
      </c>
      <c r="K82" s="81">
        <f>SUM(K83:K85)</f>
        <v>950000</v>
      </c>
      <c r="L82" s="85">
        <f t="shared" si="82"/>
        <v>1050000</v>
      </c>
      <c r="M82" s="81">
        <f>SUM(M83:M85)</f>
        <v>150000</v>
      </c>
      <c r="N82" s="81">
        <f>SUM(N83:N85)</f>
        <v>950000</v>
      </c>
      <c r="O82" s="85">
        <f t="shared" si="83"/>
        <v>1100000</v>
      </c>
      <c r="P82" s="87">
        <f t="shared" ref="P82" si="85">+O82+L82+I82+F82</f>
        <v>5628000</v>
      </c>
      <c r="T82" s="56"/>
    </row>
    <row r="83" spans="1:20">
      <c r="A83" s="98"/>
      <c r="B83" s="46"/>
      <c r="C83" s="66" t="s">
        <v>7</v>
      </c>
      <c r="D83" s="16"/>
      <c r="E83" s="16">
        <v>600000</v>
      </c>
      <c r="F83" s="62">
        <f t="shared" si="84"/>
        <v>600000</v>
      </c>
      <c r="G83" s="16">
        <v>150000</v>
      </c>
      <c r="H83" s="16">
        <v>500000</v>
      </c>
      <c r="I83" s="62">
        <f t="shared" ref="I83:I86" si="86">SUM(G83:H83)</f>
        <v>650000</v>
      </c>
      <c r="J83" s="16">
        <v>100000</v>
      </c>
      <c r="K83" s="16">
        <v>550000</v>
      </c>
      <c r="L83" s="62">
        <f t="shared" ref="L83:L86" si="87">SUM(J83:K83)</f>
        <v>650000</v>
      </c>
      <c r="M83" s="16">
        <v>150000</v>
      </c>
      <c r="N83" s="16">
        <v>550000</v>
      </c>
      <c r="O83" s="62">
        <f t="shared" ref="O83:O86" si="88">SUM(M83:N83)</f>
        <v>700000</v>
      </c>
      <c r="P83" s="63">
        <f>+O83+L83+I83+F83</f>
        <v>2600000</v>
      </c>
    </row>
    <row r="84" spans="1:20">
      <c r="A84" s="98"/>
      <c r="B84" s="46"/>
      <c r="C84" s="66" t="s">
        <v>53</v>
      </c>
      <c r="D84" s="16"/>
      <c r="E84" s="16">
        <v>400000</v>
      </c>
      <c r="F84" s="62">
        <f t="shared" si="84"/>
        <v>400000</v>
      </c>
      <c r="G84" s="16"/>
      <c r="H84" s="16">
        <v>400000</v>
      </c>
      <c r="I84" s="62">
        <f t="shared" si="86"/>
        <v>400000</v>
      </c>
      <c r="J84" s="16"/>
      <c r="K84" s="16">
        <v>400000</v>
      </c>
      <c r="L84" s="62">
        <f t="shared" si="87"/>
        <v>400000</v>
      </c>
      <c r="M84" s="16"/>
      <c r="N84" s="16">
        <v>400000</v>
      </c>
      <c r="O84" s="62">
        <f t="shared" si="88"/>
        <v>400000</v>
      </c>
      <c r="P84" s="63">
        <f>+O84+L84+I84+F84</f>
        <v>1600000</v>
      </c>
    </row>
    <row r="85" spans="1:20">
      <c r="A85" s="98"/>
      <c r="B85" s="46"/>
      <c r="C85" s="42" t="s">
        <v>109</v>
      </c>
      <c r="D85" s="16">
        <v>508315.95</v>
      </c>
      <c r="E85" s="16">
        <v>163684.04999999999</v>
      </c>
      <c r="F85" s="62">
        <f t="shared" si="84"/>
        <v>672000</v>
      </c>
      <c r="G85" s="16">
        <v>569100.17000000004</v>
      </c>
      <c r="H85" s="16">
        <v>186899.83</v>
      </c>
      <c r="I85" s="62">
        <f t="shared" si="86"/>
        <v>756000</v>
      </c>
      <c r="J85" s="16"/>
      <c r="K85" s="16"/>
      <c r="L85" s="62">
        <f t="shared" si="87"/>
        <v>0</v>
      </c>
      <c r="M85" s="16"/>
      <c r="N85" s="16"/>
      <c r="O85" s="62">
        <f t="shared" si="88"/>
        <v>0</v>
      </c>
      <c r="P85" s="63">
        <f>+O85+L85+I85+F85</f>
        <v>1428000</v>
      </c>
    </row>
    <row r="86" spans="1:20" s="45" customFormat="1">
      <c r="A86" s="94" t="s">
        <v>73</v>
      </c>
      <c r="B86" s="79"/>
      <c r="C86" s="80"/>
      <c r="D86" s="81">
        <f>SUM(D87:D90)</f>
        <v>952611.21</v>
      </c>
      <c r="E86" s="81">
        <f t="shared" ref="E86" si="89">SUM(E87:E90)</f>
        <v>750000</v>
      </c>
      <c r="F86" s="85">
        <f t="shared" ref="F86:F87" si="90">SUM(D86:E86)</f>
        <v>1702611.21</v>
      </c>
      <c r="G86" s="81">
        <f>SUM(G87:G90)</f>
        <v>250000</v>
      </c>
      <c r="H86" s="81">
        <f t="shared" ref="H86" si="91">SUM(H87:H90)</f>
        <v>1399500</v>
      </c>
      <c r="I86" s="85">
        <f t="shared" si="86"/>
        <v>1649500</v>
      </c>
      <c r="J86" s="81">
        <f>SUM(J87:J90)</f>
        <v>200000</v>
      </c>
      <c r="K86" s="81">
        <f t="shared" ref="K86" si="92">SUM(K87:K90)</f>
        <v>1000000</v>
      </c>
      <c r="L86" s="85">
        <f t="shared" si="87"/>
        <v>1200000</v>
      </c>
      <c r="M86" s="81">
        <f>SUM(M87:M90)</f>
        <v>0</v>
      </c>
      <c r="N86" s="81">
        <f t="shared" ref="N86" si="93">SUM(N87:N90)</f>
        <v>1200000</v>
      </c>
      <c r="O86" s="85">
        <f t="shared" si="88"/>
        <v>1200000</v>
      </c>
      <c r="P86" s="87">
        <f t="shared" ref="P86" si="94">+O86+L86+I86+F86</f>
        <v>5752111.21</v>
      </c>
      <c r="T86" s="56"/>
    </row>
    <row r="87" spans="1:20">
      <c r="A87" s="98"/>
      <c r="B87" s="74"/>
      <c r="C87" s="70" t="s">
        <v>54</v>
      </c>
      <c r="D87" s="50">
        <v>702611.21</v>
      </c>
      <c r="E87" s="50"/>
      <c r="F87" s="62">
        <f t="shared" si="90"/>
        <v>702611.21</v>
      </c>
      <c r="G87" s="50"/>
      <c r="H87" s="50">
        <v>150000</v>
      </c>
      <c r="I87" s="62">
        <f t="shared" ref="I87" si="95">SUM(G87:H87)</f>
        <v>150000</v>
      </c>
      <c r="J87" s="50"/>
      <c r="K87" s="50">
        <v>200000</v>
      </c>
      <c r="L87" s="62">
        <f t="shared" ref="L87" si="96">SUM(J87:K87)</f>
        <v>200000</v>
      </c>
      <c r="M87" s="50"/>
      <c r="N87" s="50">
        <v>200000</v>
      </c>
      <c r="O87" s="62">
        <f t="shared" ref="O87" si="97">SUM(M87:N87)</f>
        <v>200000</v>
      </c>
      <c r="P87" s="63">
        <f>+O87+L87+I87+F87</f>
        <v>1252611.21</v>
      </c>
    </row>
    <row r="88" spans="1:20">
      <c r="A88" s="98"/>
      <c r="B88" s="46"/>
      <c r="C88" s="42" t="s">
        <v>74</v>
      </c>
      <c r="D88" s="16">
        <v>250000</v>
      </c>
      <c r="E88" s="16">
        <v>750000</v>
      </c>
      <c r="F88" s="62">
        <f>SUM(D88:E88)</f>
        <v>1000000</v>
      </c>
      <c r="G88" s="16">
        <v>250000</v>
      </c>
      <c r="H88" s="16">
        <v>800000</v>
      </c>
      <c r="I88" s="62">
        <f>SUM(G88:H88)</f>
        <v>1050000</v>
      </c>
      <c r="J88" s="16">
        <v>200000</v>
      </c>
      <c r="K88" s="16">
        <v>800000</v>
      </c>
      <c r="L88" s="62">
        <f>SUM(J88:K88)</f>
        <v>1000000</v>
      </c>
      <c r="M88" s="16"/>
      <c r="N88" s="16">
        <v>1000000</v>
      </c>
      <c r="O88" s="62">
        <f>SUM(M88:N88)</f>
        <v>1000000</v>
      </c>
      <c r="P88" s="63">
        <f>+O88+L88+I88+F88</f>
        <v>4050000</v>
      </c>
    </row>
    <row r="89" spans="1:20" s="45" customFormat="1">
      <c r="A89" s="98"/>
      <c r="B89" s="46"/>
      <c r="C89" s="70" t="s">
        <v>45</v>
      </c>
      <c r="D89" s="50"/>
      <c r="E89" s="50"/>
      <c r="F89" s="62">
        <f t="shared" ref="F89" si="98">SUM(D89:E89)</f>
        <v>0</v>
      </c>
      <c r="G89" s="50"/>
      <c r="H89" s="50">
        <v>300000</v>
      </c>
      <c r="I89" s="62">
        <f t="shared" ref="I89" si="99">SUM(G89:H89)</f>
        <v>300000</v>
      </c>
      <c r="J89" s="50"/>
      <c r="K89" s="50"/>
      <c r="L89" s="62">
        <f t="shared" ref="L89" si="100">SUM(J89:K89)</f>
        <v>0</v>
      </c>
      <c r="M89" s="50"/>
      <c r="N89" s="50"/>
      <c r="O89" s="62">
        <f t="shared" ref="O89" si="101">SUM(M89:N89)</f>
        <v>0</v>
      </c>
      <c r="P89" s="63">
        <f>+O89+L89+I89+F89</f>
        <v>300000</v>
      </c>
      <c r="T89" s="52"/>
    </row>
    <row r="90" spans="1:20" s="45" customFormat="1">
      <c r="A90" s="98"/>
      <c r="B90" s="46"/>
      <c r="C90" s="39" t="s">
        <v>56</v>
      </c>
      <c r="D90" s="50"/>
      <c r="E90" s="50"/>
      <c r="F90" s="62">
        <f t="shared" ref="F90" si="102">SUM(D90:E90)</f>
        <v>0</v>
      </c>
      <c r="G90" s="50"/>
      <c r="H90" s="50">
        <v>149500</v>
      </c>
      <c r="I90" s="62">
        <f t="shared" ref="I90" si="103">SUM(G90:H90)</f>
        <v>149500</v>
      </c>
      <c r="J90" s="50"/>
      <c r="K90" s="50"/>
      <c r="L90" s="62">
        <f t="shared" ref="L90" si="104">SUM(J90:K90)</f>
        <v>0</v>
      </c>
      <c r="M90" s="50"/>
      <c r="N90" s="50"/>
      <c r="O90" s="62">
        <f t="shared" ref="O90" si="105">SUM(M90:N90)</f>
        <v>0</v>
      </c>
      <c r="P90" s="63">
        <f>+O90+L90+I90+F90</f>
        <v>149500</v>
      </c>
      <c r="T90" s="56"/>
    </row>
    <row r="91" spans="1:20" s="45" customFormat="1">
      <c r="A91" s="94" t="s">
        <v>75</v>
      </c>
      <c r="B91" s="79"/>
      <c r="C91" s="80"/>
      <c r="D91" s="81">
        <f>SUM(D92:D98)</f>
        <v>0</v>
      </c>
      <c r="E91" s="81">
        <f>SUM(E92:E98)</f>
        <v>1118005</v>
      </c>
      <c r="F91" s="85">
        <f t="shared" ref="F91:F96" si="106">SUM(D91:E91)</f>
        <v>1118005</v>
      </c>
      <c r="G91" s="81">
        <f>SUM(G92:G98)</f>
        <v>0</v>
      </c>
      <c r="H91" s="81">
        <f>SUM(H92:H98)</f>
        <v>878980</v>
      </c>
      <c r="I91" s="85">
        <f t="shared" ref="I91:I96" si="107">SUM(G91:H91)</f>
        <v>878980</v>
      </c>
      <c r="J91" s="81">
        <f>SUM(J92:J98)</f>
        <v>0</v>
      </c>
      <c r="K91" s="81">
        <f>SUM(K92:K98)</f>
        <v>786327.8</v>
      </c>
      <c r="L91" s="85">
        <f t="shared" ref="L91:L96" si="108">SUM(J91:K91)</f>
        <v>786327.8</v>
      </c>
      <c r="M91" s="81">
        <f>SUM(M92:M98)</f>
        <v>0</v>
      </c>
      <c r="N91" s="81">
        <f>SUM(N92:N98)</f>
        <v>680000</v>
      </c>
      <c r="O91" s="85">
        <f t="shared" ref="O91:O96" si="109">SUM(M91:N91)</f>
        <v>680000</v>
      </c>
      <c r="P91" s="87">
        <f t="shared" ref="P91" si="110">+O91+L91+I91+F91</f>
        <v>3463312.8</v>
      </c>
      <c r="T91" s="56"/>
    </row>
    <row r="92" spans="1:20" s="45" customFormat="1">
      <c r="A92" s="98"/>
      <c r="B92" s="46"/>
      <c r="C92" s="68" t="s">
        <v>110</v>
      </c>
      <c r="D92" s="50"/>
      <c r="E92" s="50">
        <v>123000</v>
      </c>
      <c r="F92" s="62">
        <f t="shared" si="106"/>
        <v>123000</v>
      </c>
      <c r="G92" s="50"/>
      <c r="H92" s="50"/>
      <c r="I92" s="62">
        <f t="shared" si="107"/>
        <v>0</v>
      </c>
      <c r="J92" s="50"/>
      <c r="K92" s="50"/>
      <c r="L92" s="62">
        <f t="shared" si="108"/>
        <v>0</v>
      </c>
      <c r="M92" s="50"/>
      <c r="N92" s="50"/>
      <c r="O92" s="62">
        <f t="shared" si="109"/>
        <v>0</v>
      </c>
      <c r="P92" s="63">
        <f t="shared" ref="P92:P98" si="111">+O92+L92+I92+F92</f>
        <v>123000</v>
      </c>
      <c r="T92" s="44"/>
    </row>
    <row r="93" spans="1:20" s="45" customFormat="1">
      <c r="A93" s="98"/>
      <c r="B93" s="46"/>
      <c r="C93" s="68" t="s">
        <v>42</v>
      </c>
      <c r="D93" s="50"/>
      <c r="E93" s="50">
        <v>20000</v>
      </c>
      <c r="F93" s="62">
        <f t="shared" si="106"/>
        <v>20000</v>
      </c>
      <c r="G93" s="50"/>
      <c r="H93" s="50">
        <v>40000</v>
      </c>
      <c r="I93" s="62">
        <f t="shared" si="107"/>
        <v>40000</v>
      </c>
      <c r="J93" s="50"/>
      <c r="K93" s="50">
        <v>100000</v>
      </c>
      <c r="L93" s="62">
        <f t="shared" si="108"/>
        <v>100000</v>
      </c>
      <c r="M93" s="50"/>
      <c r="N93" s="50">
        <v>60000</v>
      </c>
      <c r="O93" s="62">
        <f t="shared" si="109"/>
        <v>60000</v>
      </c>
      <c r="P93" s="63">
        <f t="shared" si="111"/>
        <v>220000</v>
      </c>
      <c r="T93" s="44"/>
    </row>
    <row r="94" spans="1:20">
      <c r="A94" s="98"/>
      <c r="B94" s="46"/>
      <c r="C94" s="39" t="s">
        <v>5</v>
      </c>
      <c r="D94" s="16"/>
      <c r="E94" s="16">
        <v>500000</v>
      </c>
      <c r="F94" s="62">
        <f t="shared" si="106"/>
        <v>500000</v>
      </c>
      <c r="G94" s="16"/>
      <c r="H94" s="16">
        <v>500000</v>
      </c>
      <c r="I94" s="62">
        <f t="shared" si="107"/>
        <v>500000</v>
      </c>
      <c r="J94" s="16"/>
      <c r="K94" s="16">
        <v>500000</v>
      </c>
      <c r="L94" s="62">
        <f t="shared" si="108"/>
        <v>500000</v>
      </c>
      <c r="M94" s="16"/>
      <c r="N94" s="16">
        <v>500000</v>
      </c>
      <c r="O94" s="62">
        <f t="shared" si="109"/>
        <v>500000</v>
      </c>
      <c r="P94" s="63">
        <f t="shared" si="111"/>
        <v>2000000</v>
      </c>
    </row>
    <row r="95" spans="1:20">
      <c r="A95" s="98"/>
      <c r="B95" s="46"/>
      <c r="C95" s="15" t="s">
        <v>6</v>
      </c>
      <c r="D95" s="16"/>
      <c r="E95" s="16">
        <v>45980</v>
      </c>
      <c r="F95" s="62">
        <f t="shared" si="106"/>
        <v>45980</v>
      </c>
      <c r="G95" s="16"/>
      <c r="H95" s="16">
        <v>45980</v>
      </c>
      <c r="I95" s="62">
        <f t="shared" si="107"/>
        <v>45980</v>
      </c>
      <c r="J95" s="16"/>
      <c r="K95" s="16">
        <v>15327.8</v>
      </c>
      <c r="L95" s="62">
        <f t="shared" si="108"/>
        <v>15327.8</v>
      </c>
      <c r="M95" s="16"/>
      <c r="N95" s="16"/>
      <c r="O95" s="62">
        <f t="shared" si="109"/>
        <v>0</v>
      </c>
      <c r="P95" s="63">
        <f t="shared" si="111"/>
        <v>107287.8</v>
      </c>
    </row>
    <row r="96" spans="1:20" s="45" customFormat="1" ht="38.25">
      <c r="A96" s="98"/>
      <c r="B96" s="46"/>
      <c r="C96" s="68" t="s">
        <v>111</v>
      </c>
      <c r="D96" s="50"/>
      <c r="E96" s="50">
        <v>50000</v>
      </c>
      <c r="F96" s="62">
        <f t="shared" si="106"/>
        <v>50000</v>
      </c>
      <c r="G96" s="50"/>
      <c r="H96" s="50">
        <v>50000</v>
      </c>
      <c r="I96" s="62">
        <f t="shared" si="107"/>
        <v>50000</v>
      </c>
      <c r="J96" s="50"/>
      <c r="K96" s="50">
        <v>100000</v>
      </c>
      <c r="L96" s="62">
        <f t="shared" si="108"/>
        <v>100000</v>
      </c>
      <c r="M96" s="50"/>
      <c r="N96" s="50">
        <v>100000</v>
      </c>
      <c r="O96" s="62">
        <f t="shared" si="109"/>
        <v>100000</v>
      </c>
      <c r="P96" s="63">
        <f t="shared" si="111"/>
        <v>300000</v>
      </c>
      <c r="T96" s="44"/>
    </row>
    <row r="97" spans="1:20">
      <c r="A97" s="98"/>
      <c r="B97" s="46"/>
      <c r="C97" s="15" t="s">
        <v>4</v>
      </c>
      <c r="D97" s="16"/>
      <c r="E97" s="16"/>
      <c r="F97" s="62">
        <f t="shared" ref="F97:F98" si="112">SUM(D97:E97)</f>
        <v>0</v>
      </c>
      <c r="G97" s="16"/>
      <c r="H97" s="16">
        <v>76000</v>
      </c>
      <c r="I97" s="62">
        <f t="shared" ref="I97:I99" si="113">SUM(G97:H97)</f>
        <v>76000</v>
      </c>
      <c r="J97" s="16"/>
      <c r="K97" s="16"/>
      <c r="L97" s="62">
        <f t="shared" ref="L97:L99" si="114">SUM(J97:K97)</f>
        <v>0</v>
      </c>
      <c r="M97" s="16"/>
      <c r="N97" s="16"/>
      <c r="O97" s="62">
        <f t="shared" ref="O97:O99" si="115">SUM(M97:N97)</f>
        <v>0</v>
      </c>
      <c r="P97" s="63">
        <f t="shared" si="111"/>
        <v>76000</v>
      </c>
    </row>
    <row r="98" spans="1:20" s="45" customFormat="1">
      <c r="A98" s="98"/>
      <c r="B98" s="46"/>
      <c r="C98" s="42" t="s">
        <v>93</v>
      </c>
      <c r="D98" s="50"/>
      <c r="E98" s="50">
        <v>379025</v>
      </c>
      <c r="F98" s="62">
        <f t="shared" si="112"/>
        <v>379025</v>
      </c>
      <c r="G98" s="50"/>
      <c r="H98" s="50">
        <v>167000</v>
      </c>
      <c r="I98" s="62">
        <f t="shared" si="113"/>
        <v>167000</v>
      </c>
      <c r="J98" s="50"/>
      <c r="K98" s="50">
        <v>71000</v>
      </c>
      <c r="L98" s="62">
        <f t="shared" si="114"/>
        <v>71000</v>
      </c>
      <c r="M98" s="50"/>
      <c r="N98" s="50">
        <v>20000</v>
      </c>
      <c r="O98" s="62">
        <f t="shared" si="115"/>
        <v>20000</v>
      </c>
      <c r="P98" s="63">
        <f t="shared" si="111"/>
        <v>637025</v>
      </c>
      <c r="T98" s="56"/>
    </row>
    <row r="99" spans="1:20" s="45" customFormat="1">
      <c r="A99" s="94" t="s">
        <v>76</v>
      </c>
      <c r="B99" s="79"/>
      <c r="C99" s="80"/>
      <c r="D99" s="81">
        <f>+D100</f>
        <v>0</v>
      </c>
      <c r="E99" s="81">
        <f>+E100</f>
        <v>1500000</v>
      </c>
      <c r="F99" s="85">
        <f t="shared" ref="F99:F100" si="116">SUM(D99:E99)</f>
        <v>1500000</v>
      </c>
      <c r="G99" s="81">
        <f>+G100</f>
        <v>0</v>
      </c>
      <c r="H99" s="81">
        <f>+H100</f>
        <v>0</v>
      </c>
      <c r="I99" s="85">
        <f t="shared" si="113"/>
        <v>0</v>
      </c>
      <c r="J99" s="81">
        <f>+J100</f>
        <v>0</v>
      </c>
      <c r="K99" s="81">
        <f>+K100</f>
        <v>1500000</v>
      </c>
      <c r="L99" s="85">
        <f t="shared" si="114"/>
        <v>1500000</v>
      </c>
      <c r="M99" s="81">
        <f>+M100</f>
        <v>0</v>
      </c>
      <c r="N99" s="81">
        <f>+N100</f>
        <v>0</v>
      </c>
      <c r="O99" s="85">
        <f t="shared" si="115"/>
        <v>0</v>
      </c>
      <c r="P99" s="87">
        <f t="shared" ref="P99" si="117">+O99+L99+I99+F99</f>
        <v>3000000</v>
      </c>
      <c r="T99" s="56"/>
    </row>
    <row r="100" spans="1:20" s="45" customFormat="1" ht="16.5" thickBot="1">
      <c r="A100" s="98"/>
      <c r="B100" s="46"/>
      <c r="C100" s="68" t="s">
        <v>28</v>
      </c>
      <c r="D100" s="50"/>
      <c r="E100" s="50">
        <v>1500000</v>
      </c>
      <c r="F100" s="62">
        <f t="shared" si="116"/>
        <v>1500000</v>
      </c>
      <c r="G100" s="50"/>
      <c r="H100" s="50"/>
      <c r="I100" s="62">
        <f t="shared" ref="I100" si="118">SUM(G100:H100)</f>
        <v>0</v>
      </c>
      <c r="J100" s="50"/>
      <c r="K100" s="50">
        <v>1500000</v>
      </c>
      <c r="L100" s="62">
        <f t="shared" ref="L100" si="119">SUM(J100:K100)</f>
        <v>1500000</v>
      </c>
      <c r="M100" s="50"/>
      <c r="N100" s="50"/>
      <c r="O100" s="62">
        <f t="shared" ref="O100" si="120">SUM(M100:N100)</f>
        <v>0</v>
      </c>
      <c r="P100" s="63">
        <f>+O100+L100+I100+F100</f>
        <v>3000000</v>
      </c>
      <c r="T100" s="56"/>
    </row>
    <row r="101" spans="1:20" s="76" customFormat="1" ht="17.25" thickTop="1" thickBot="1">
      <c r="A101" s="91" t="s">
        <v>34</v>
      </c>
      <c r="B101" s="88"/>
      <c r="C101" s="88"/>
      <c r="D101" s="89">
        <f t="shared" ref="D101:P101" si="121">+D99+D91+D86+D82+D80+D73+D56+D48+D7</f>
        <v>4428754.0135289254</v>
      </c>
      <c r="E101" s="89">
        <f t="shared" si="121"/>
        <v>20851261.5</v>
      </c>
      <c r="F101" s="89">
        <f t="shared" si="121"/>
        <v>25280015.513528924</v>
      </c>
      <c r="G101" s="89">
        <f t="shared" si="121"/>
        <v>3515854.1702479338</v>
      </c>
      <c r="H101" s="89">
        <f t="shared" si="121"/>
        <v>21333637</v>
      </c>
      <c r="I101" s="89">
        <f t="shared" si="121"/>
        <v>24849491.170247935</v>
      </c>
      <c r="J101" s="89">
        <f t="shared" si="121"/>
        <v>1116000</v>
      </c>
      <c r="K101" s="89">
        <f t="shared" si="121"/>
        <v>20803929</v>
      </c>
      <c r="L101" s="89">
        <f t="shared" si="121"/>
        <v>21919929</v>
      </c>
      <c r="M101" s="89">
        <f t="shared" si="121"/>
        <v>716000</v>
      </c>
      <c r="N101" s="89">
        <f t="shared" si="121"/>
        <v>18788882</v>
      </c>
      <c r="O101" s="89">
        <f t="shared" si="121"/>
        <v>19504882</v>
      </c>
      <c r="P101" s="90">
        <f t="shared" si="121"/>
        <v>91554317.683776855</v>
      </c>
      <c r="T101" s="77"/>
    </row>
    <row r="102" spans="1:20" s="45" customFormat="1" ht="16.5" thickTop="1">
      <c r="A102" s="95"/>
      <c r="F102" s="48"/>
      <c r="I102" s="48"/>
      <c r="L102" s="48"/>
      <c r="O102" s="48"/>
      <c r="P102" s="49"/>
      <c r="T102" s="56"/>
    </row>
    <row r="103" spans="1:20" s="45" customFormat="1">
      <c r="A103" s="95"/>
      <c r="F103" s="48"/>
      <c r="I103" s="48"/>
      <c r="L103" s="48"/>
      <c r="O103" s="48"/>
      <c r="P103" s="49"/>
      <c r="T103" s="56"/>
    </row>
    <row r="104" spans="1:20" s="45" customFormat="1">
      <c r="A104" s="95"/>
      <c r="F104" s="48"/>
      <c r="I104" s="48"/>
      <c r="L104" s="48"/>
      <c r="O104" s="48"/>
      <c r="P104" s="49"/>
      <c r="T104" s="56"/>
    </row>
    <row r="105" spans="1:20" s="45" customFormat="1">
      <c r="A105" s="95"/>
      <c r="F105" s="48"/>
      <c r="I105" s="48"/>
      <c r="L105" s="48"/>
      <c r="O105" s="48"/>
      <c r="P105" s="49"/>
      <c r="T105" s="56"/>
    </row>
    <row r="106" spans="1:20" s="45" customFormat="1">
      <c r="A106" s="95"/>
      <c r="F106" s="48"/>
      <c r="I106" s="48"/>
      <c r="L106" s="48"/>
      <c r="O106" s="48"/>
      <c r="P106" s="49"/>
      <c r="T106" s="56"/>
    </row>
    <row r="107" spans="1:20" ht="16.5" hidden="1" thickBot="1">
      <c r="C107" s="7"/>
      <c r="D107" s="17">
        <v>2020</v>
      </c>
      <c r="E107" s="17"/>
      <c r="F107" s="18"/>
      <c r="G107" s="17">
        <v>2021</v>
      </c>
      <c r="H107" s="17"/>
      <c r="I107" s="18"/>
      <c r="J107" s="17">
        <v>2022</v>
      </c>
      <c r="K107" s="17"/>
      <c r="L107" s="18"/>
      <c r="M107" s="17">
        <v>2023</v>
      </c>
      <c r="N107" s="17"/>
      <c r="O107" s="18"/>
      <c r="P107" s="19"/>
    </row>
    <row r="108" spans="1:20" s="3" customFormat="1" hidden="1">
      <c r="A108" s="100" t="s">
        <v>36</v>
      </c>
      <c r="B108" s="8"/>
      <c r="C108" s="8"/>
      <c r="D108" s="8"/>
      <c r="E108" s="8">
        <f>13000000+500000</f>
        <v>13500000</v>
      </c>
      <c r="F108" s="23"/>
      <c r="G108" s="8"/>
      <c r="H108" s="8">
        <f>13000000+500000</f>
        <v>13500000</v>
      </c>
      <c r="I108" s="23"/>
      <c r="J108" s="8"/>
      <c r="K108" s="8">
        <f>13000000+500000</f>
        <v>13500000</v>
      </c>
      <c r="L108" s="23"/>
      <c r="M108" s="8"/>
      <c r="N108" s="8">
        <f>13000000-1500000</f>
        <v>11500000</v>
      </c>
      <c r="O108" s="23"/>
      <c r="P108" s="24"/>
      <c r="T108" s="1"/>
    </row>
    <row r="109" spans="1:20" s="3" customFormat="1" hidden="1">
      <c r="A109" s="101" t="s">
        <v>37</v>
      </c>
      <c r="B109" s="9"/>
      <c r="C109" s="9"/>
      <c r="D109" s="9"/>
      <c r="E109" s="9">
        <f>1500000+100000</f>
        <v>1600000</v>
      </c>
      <c r="F109" s="25"/>
      <c r="G109" s="9"/>
      <c r="H109" s="9">
        <v>1500000</v>
      </c>
      <c r="I109" s="25"/>
      <c r="J109" s="9"/>
      <c r="K109" s="9">
        <v>1500000</v>
      </c>
      <c r="L109" s="25"/>
      <c r="M109" s="9"/>
      <c r="N109" s="9">
        <v>1500000</v>
      </c>
      <c r="O109" s="25"/>
      <c r="P109" s="26"/>
      <c r="T109" s="1"/>
    </row>
    <row r="110" spans="1:20" s="3" customFormat="1" hidden="1">
      <c r="A110" s="102" t="s">
        <v>38</v>
      </c>
      <c r="B110" s="10"/>
      <c r="C110" s="10"/>
      <c r="D110" s="10"/>
      <c r="E110" s="10">
        <f>SUM(E108:E109)</f>
        <v>15100000</v>
      </c>
      <c r="F110" s="27"/>
      <c r="G110" s="10"/>
      <c r="H110" s="10">
        <f>SUM(H108:H109)</f>
        <v>15000000</v>
      </c>
      <c r="I110" s="27"/>
      <c r="J110" s="10"/>
      <c r="K110" s="10">
        <f>SUM(K108:K109)</f>
        <v>15000000</v>
      </c>
      <c r="L110" s="27"/>
      <c r="M110" s="10"/>
      <c r="N110" s="10">
        <f>SUM(N108:N109)</f>
        <v>13000000</v>
      </c>
      <c r="O110" s="27"/>
      <c r="P110" s="28"/>
      <c r="T110" s="1"/>
    </row>
    <row r="111" spans="1:20" s="3" customFormat="1" ht="16.5" hidden="1" thickBot="1">
      <c r="A111" s="103" t="s">
        <v>40</v>
      </c>
      <c r="B111" s="11"/>
      <c r="C111" s="11"/>
      <c r="D111" s="11"/>
      <c r="E111" s="11">
        <f>+E110-E101</f>
        <v>-5751261.5</v>
      </c>
      <c r="F111" s="11"/>
      <c r="G111" s="11"/>
      <c r="H111" s="11">
        <f>+H110-H101</f>
        <v>-6333637</v>
      </c>
      <c r="I111" s="11"/>
      <c r="J111" s="11"/>
      <c r="K111" s="11">
        <f>+K110-K101</f>
        <v>-5803929</v>
      </c>
      <c r="L111" s="11"/>
      <c r="M111" s="11"/>
      <c r="N111" s="11">
        <f>+N110-N101</f>
        <v>-5788882</v>
      </c>
      <c r="O111" s="11"/>
      <c r="P111" s="29"/>
      <c r="T111" s="1"/>
    </row>
    <row r="112" spans="1:20" s="3" customFormat="1" ht="8.25" hidden="1" customHeight="1" thickBot="1">
      <c r="A112" s="104"/>
      <c r="B112" s="47"/>
      <c r="F112" s="30"/>
      <c r="I112" s="30"/>
      <c r="L112" s="30"/>
      <c r="O112" s="30"/>
      <c r="P112" s="14"/>
      <c r="T112" s="1"/>
    </row>
    <row r="113" spans="1:20" s="3" customFormat="1" hidden="1">
      <c r="A113" s="105" t="s">
        <v>41</v>
      </c>
      <c r="B113" s="12"/>
      <c r="C113" s="12"/>
      <c r="D113" s="12"/>
      <c r="E113" s="12">
        <v>-4600000</v>
      </c>
      <c r="F113" s="31"/>
      <c r="G113" s="12"/>
      <c r="H113" s="12">
        <v>-1400000</v>
      </c>
      <c r="I113" s="31"/>
      <c r="J113" s="12"/>
      <c r="K113" s="12">
        <v>-1400000</v>
      </c>
      <c r="L113" s="31"/>
      <c r="M113" s="12"/>
      <c r="N113" s="12">
        <v>-1400000</v>
      </c>
      <c r="O113" s="31"/>
      <c r="P113" s="32"/>
      <c r="T113" s="1"/>
    </row>
    <row r="114" spans="1:20" s="3" customFormat="1" ht="16.5" hidden="1" thickBot="1">
      <c r="A114" s="103" t="s">
        <v>39</v>
      </c>
      <c r="B114" s="11"/>
      <c r="C114" s="11"/>
      <c r="D114" s="11"/>
      <c r="E114" s="11">
        <f>+E111-E113</f>
        <v>-1151261.5</v>
      </c>
      <c r="F114" s="11"/>
      <c r="G114" s="11"/>
      <c r="H114" s="11">
        <f>+H111+H113</f>
        <v>-7733637</v>
      </c>
      <c r="I114" s="11"/>
      <c r="J114" s="11"/>
      <c r="K114" s="11">
        <f>+K111+K113</f>
        <v>-7203929</v>
      </c>
      <c r="L114" s="11"/>
      <c r="M114" s="11"/>
      <c r="N114" s="11">
        <f>+N111+N113</f>
        <v>-7188882</v>
      </c>
      <c r="O114" s="11"/>
      <c r="P114" s="29"/>
      <c r="T114" s="1"/>
    </row>
    <row r="115" spans="1:20" hidden="1"/>
    <row r="116" spans="1:20" s="47" customFormat="1" hidden="1">
      <c r="A116" s="104"/>
      <c r="F116" s="30"/>
      <c r="I116" s="30"/>
      <c r="L116" s="30"/>
      <c r="O116" s="30"/>
      <c r="P116" s="14"/>
      <c r="T116" s="1"/>
    </row>
    <row r="117" spans="1:20" s="47" customFormat="1" hidden="1">
      <c r="A117" s="104"/>
      <c r="F117" s="30"/>
      <c r="I117" s="30"/>
      <c r="L117" s="30"/>
      <c r="O117" s="30"/>
      <c r="P117" s="14"/>
      <c r="T117" s="1"/>
    </row>
    <row r="118" spans="1:20" s="3" customFormat="1" hidden="1">
      <c r="A118" s="104"/>
      <c r="B118" s="47"/>
      <c r="F118" s="30"/>
      <c r="I118" s="30"/>
      <c r="L118" s="30"/>
      <c r="O118" s="30"/>
      <c r="P118" s="14"/>
      <c r="T118" s="1"/>
    </row>
    <row r="119" spans="1:20" s="3" customFormat="1" hidden="1">
      <c r="A119" s="104"/>
      <c r="B119" s="47"/>
      <c r="F119" s="30"/>
      <c r="H119" s="30"/>
      <c r="I119" s="30"/>
      <c r="L119" s="30"/>
      <c r="O119" s="30"/>
      <c r="P119" s="14"/>
      <c r="T119" s="1"/>
    </row>
    <row r="120" spans="1:20" s="3" customFormat="1" hidden="1">
      <c r="A120" s="104"/>
      <c r="B120" s="47"/>
      <c r="C120" s="75" t="s">
        <v>97</v>
      </c>
      <c r="F120" s="30"/>
      <c r="I120" s="30"/>
      <c r="L120" s="30"/>
      <c r="O120" s="30"/>
      <c r="P120" s="14"/>
      <c r="T120" s="1"/>
    </row>
    <row r="121" spans="1:20" s="3" customFormat="1" hidden="1">
      <c r="A121" s="104"/>
      <c r="B121" s="47"/>
      <c r="F121" s="2"/>
      <c r="I121" s="45"/>
      <c r="L121" s="45"/>
      <c r="O121" s="45"/>
      <c r="P121" s="14"/>
      <c r="T121" s="1"/>
    </row>
    <row r="122" spans="1:20" s="47" customFormat="1" hidden="1">
      <c r="A122" s="104"/>
      <c r="C122" s="75" t="s">
        <v>90</v>
      </c>
      <c r="D122" s="47">
        <v>4428754.0135289254</v>
      </c>
      <c r="E122" s="47">
        <f>19700000-4600000</f>
        <v>15100000</v>
      </c>
      <c r="F122" s="30">
        <f>SUM(D122:E122)</f>
        <v>19528754.013528924</v>
      </c>
      <c r="G122" s="47">
        <v>3515854.1702479338</v>
      </c>
      <c r="H122" s="47">
        <f>13600000+1400000</f>
        <v>15000000</v>
      </c>
      <c r="I122" s="30">
        <f>SUM(G122:H122)</f>
        <v>18515854.170247935</v>
      </c>
      <c r="J122" s="47">
        <v>1116000</v>
      </c>
      <c r="K122" s="47">
        <f>13600000+1400000</f>
        <v>15000000</v>
      </c>
      <c r="L122" s="30">
        <f>SUM(J122:K122)</f>
        <v>16116000</v>
      </c>
      <c r="M122" s="47">
        <v>716000</v>
      </c>
      <c r="N122" s="47">
        <f>13000000</f>
        <v>13000000</v>
      </c>
      <c r="O122" s="30">
        <f>SUM(M122:N122)</f>
        <v>13716000</v>
      </c>
      <c r="P122" s="14">
        <f>+F122+I122+L122+O122</f>
        <v>67876608.183776855</v>
      </c>
      <c r="T122" s="1"/>
    </row>
    <row r="123" spans="1:20" s="47" customFormat="1" hidden="1">
      <c r="A123" s="104"/>
      <c r="C123" s="75" t="s">
        <v>89</v>
      </c>
      <c r="F123" s="30">
        <f>1050825+3538487</f>
        <v>4589312</v>
      </c>
      <c r="I123" s="30">
        <f>3900000+617000</f>
        <v>4517000</v>
      </c>
      <c r="L123" s="30">
        <f>2350000+361000</f>
        <v>2711000</v>
      </c>
      <c r="O123" s="30">
        <f>1550000+130000</f>
        <v>1680000</v>
      </c>
      <c r="P123" s="14">
        <f t="shared" ref="P123:P124" si="122">+F123+I123+L123+O123</f>
        <v>13497312</v>
      </c>
      <c r="T123" s="1"/>
    </row>
    <row r="124" spans="1:20" s="47" customFormat="1" hidden="1">
      <c r="A124" s="104"/>
      <c r="C124" s="75" t="s">
        <v>91</v>
      </c>
      <c r="F124" s="30">
        <f>22000+186375+448320+215316+62400+70000</f>
        <v>1004411</v>
      </c>
      <c r="I124" s="30">
        <v>1816637</v>
      </c>
      <c r="L124" s="30">
        <v>3092929</v>
      </c>
      <c r="O124" s="30">
        <v>4108882</v>
      </c>
      <c r="P124" s="14">
        <f t="shared" si="122"/>
        <v>10022859</v>
      </c>
      <c r="T124" s="1"/>
    </row>
    <row r="125" spans="1:20" s="47" customFormat="1" ht="15" hidden="1">
      <c r="A125" s="104"/>
      <c r="C125" s="75"/>
      <c r="F125" s="25">
        <f>SUM(F122:F124)</f>
        <v>25122477.013528924</v>
      </c>
      <c r="G125" s="25"/>
      <c r="H125" s="25"/>
      <c r="I125" s="25">
        <f t="shared" ref="I125:P125" si="123">SUM(I122:I124)</f>
        <v>24849491.170247935</v>
      </c>
      <c r="J125" s="25"/>
      <c r="K125" s="25"/>
      <c r="L125" s="25">
        <f t="shared" si="123"/>
        <v>21919929</v>
      </c>
      <c r="M125" s="25"/>
      <c r="N125" s="25"/>
      <c r="O125" s="25">
        <f t="shared" si="123"/>
        <v>19504882</v>
      </c>
      <c r="P125" s="25">
        <f t="shared" si="123"/>
        <v>91396779.183776855</v>
      </c>
      <c r="T125" s="1"/>
    </row>
    <row r="126" spans="1:20" s="47" customFormat="1" ht="15" hidden="1">
      <c r="A126" s="104"/>
      <c r="C126" s="75"/>
      <c r="F126" s="30">
        <f>+F125-F101</f>
        <v>-157538.5</v>
      </c>
      <c r="G126" s="30"/>
      <c r="H126" s="30"/>
      <c r="I126" s="30">
        <f t="shared" ref="I126:P126" si="124">+I125-I101</f>
        <v>0</v>
      </c>
      <c r="J126" s="30"/>
      <c r="K126" s="30"/>
      <c r="L126" s="30">
        <f t="shared" si="124"/>
        <v>0</v>
      </c>
      <c r="M126" s="30"/>
      <c r="N126" s="30"/>
      <c r="O126" s="30">
        <f t="shared" si="124"/>
        <v>0</v>
      </c>
      <c r="P126" s="30">
        <f t="shared" si="124"/>
        <v>-157538.5</v>
      </c>
      <c r="T126" s="1"/>
    </row>
    <row r="127" spans="1:20" s="47" customFormat="1">
      <c r="A127" s="104"/>
      <c r="C127" s="75"/>
      <c r="F127" s="30"/>
      <c r="I127" s="30"/>
      <c r="L127" s="30"/>
      <c r="O127" s="30"/>
      <c r="P127" s="14"/>
      <c r="T127" s="1"/>
    </row>
    <row r="128" spans="1:20" s="47" customFormat="1">
      <c r="A128" s="104"/>
      <c r="C128" s="75"/>
      <c r="F128" s="30"/>
      <c r="I128" s="30"/>
      <c r="L128" s="30"/>
      <c r="O128" s="30"/>
      <c r="P128" s="14"/>
      <c r="T128" s="1"/>
    </row>
  </sheetData>
  <pageMargins left="0.23622047244094491" right="0" top="0.70866141732283472" bottom="0.93" header="0.31496062992125984" footer="0.72"/>
  <pageSetup paperSize="8" scale="61" fitToHeight="5" orientation="landscape" r:id="rId1"/>
  <headerFooter>
    <oddHeader>&amp;R&amp;D&amp;T</oddHeader>
  </headerFooter>
  <rowBreaks count="1" manualBreakCount="1">
    <brk id="1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entregatMariela28112019</vt:lpstr>
      <vt:lpstr>Hoja3</vt:lpstr>
      <vt:lpstr>entregatMariela28112019!Área_de_impresión</vt:lpstr>
      <vt:lpstr>entregatMariela28112019!Títulos_a_imprimir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dcuadras</dc:creator>
  <cp:lastModifiedBy>mgonzalez</cp:lastModifiedBy>
  <cp:lastPrinted>2019-11-29T13:36:05Z</cp:lastPrinted>
  <dcterms:created xsi:type="dcterms:W3CDTF">2019-11-06T08:25:27Z</dcterms:created>
  <dcterms:modified xsi:type="dcterms:W3CDTF">2019-12-11T08:59:17Z</dcterms:modified>
</cp:coreProperties>
</file>